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3920" windowHeight="8130" firstSheet="1" activeTab="3"/>
  </bookViews>
  <sheets>
    <sheet name="PRESENTACION" sheetId="2" r:id="rId1"/>
    <sheet name="RATR" sheetId="3" r:id="rId2"/>
    <sheet name="RESUMEN" sheetId="4" r:id="rId3"/>
    <sheet name="PRESUPUESTO" sheetId="1" r:id="rId4"/>
  </sheets>
  <externalReferences>
    <externalReference r:id="rId5"/>
    <externalReference r:id="rId6"/>
    <externalReference r:id="rId7"/>
    <externalReference r:id="rId8"/>
  </externalReferences>
  <definedNames>
    <definedName name="\0" localSheetId="0">'[1]AGUA-POT'!#REF!</definedName>
    <definedName name="\0">#REF!</definedName>
    <definedName name="\p" localSheetId="0">'[1]AGUA-POT'!#REF!</definedName>
    <definedName name="\p">#REF!</definedName>
    <definedName name="A_PAÑETE_MAESTREADO_viga_columna">[2]Analisis!$F$460</definedName>
    <definedName name="ALCAR01">#N/A</definedName>
    <definedName name="_xlnm.Print_Area" localSheetId="0">PRESENTACION!$A$1:$J$62</definedName>
    <definedName name="_xlnm.Print_Area" localSheetId="3">PRESUPUESTO!$A$1:$G$446</definedName>
    <definedName name="_xlnm.Print_Area" localSheetId="1">RATR!$A$1:$H$48</definedName>
    <definedName name="_xlnm.Print_Area" localSheetId="2">RESUMEN!$A$1:$G$68</definedName>
    <definedName name="FIRMA" localSheetId="0">'[1]AGUA-POT'!#REF!</definedName>
    <definedName name="FIRMA">#N/A</definedName>
    <definedName name="INSUMO" localSheetId="0">#N/A</definedName>
    <definedName name="INSUMO">#N/A</definedName>
    <definedName name="MO">#N/A</definedName>
    <definedName name="NOTA" localSheetId="0">'[1]AGUA-POT'!#REF!</definedName>
    <definedName name="NOTA">#N/A</definedName>
    <definedName name="Print_Area_MI">[3]Hoja1!$A$1:$G$92</definedName>
    <definedName name="_xlnm.Print_Titles" localSheetId="3">PRESUPUESTO!$1:$10</definedName>
  </definedNames>
  <calcPr calcId="124519"/>
</workbook>
</file>

<file path=xl/calcChain.xml><?xml version="1.0" encoding="utf-8"?>
<calcChain xmlns="http://schemas.openxmlformats.org/spreadsheetml/2006/main">
  <c r="C39" i="1"/>
  <c r="C38"/>
  <c r="C36"/>
  <c r="C37" s="1"/>
  <c r="C35"/>
  <c r="C34"/>
  <c r="C33"/>
  <c r="C32"/>
  <c r="C31"/>
  <c r="C30"/>
  <c r="C29"/>
  <c r="C28"/>
  <c r="C27"/>
  <c r="C26"/>
  <c r="C25"/>
  <c r="C24"/>
  <c r="C23"/>
  <c r="C22"/>
  <c r="C21"/>
  <c r="C20"/>
  <c r="C19"/>
  <c r="C40" s="1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C416"/>
  <c r="C417" s="1"/>
  <c r="F416" l="1"/>
  <c r="F417"/>
  <c r="C167"/>
  <c r="C166"/>
  <c r="C165"/>
  <c r="C420"/>
  <c r="C409"/>
  <c r="C408"/>
  <c r="C407"/>
  <c r="C399"/>
  <c r="C365"/>
  <c r="C362"/>
  <c r="C329"/>
  <c r="C322"/>
  <c r="C320"/>
  <c r="C318"/>
  <c r="C279"/>
  <c r="C188"/>
  <c r="C254"/>
  <c r="C221"/>
  <c r="C220"/>
  <c r="C195"/>
  <c r="C187"/>
  <c r="C184"/>
  <c r="C140"/>
  <c r="C139"/>
  <c r="C138"/>
  <c r="C148"/>
  <c r="C146"/>
  <c r="C145"/>
  <c r="C144"/>
  <c r="C143"/>
  <c r="C98"/>
  <c r="C97"/>
  <c r="C96"/>
  <c r="C47"/>
  <c r="C52"/>
  <c r="C46"/>
  <c r="C51"/>
  <c r="C49"/>
  <c r="C43"/>
  <c r="C50"/>
  <c r="C48"/>
  <c r="C44"/>
  <c r="G417" l="1"/>
  <c r="F271"/>
  <c r="F270"/>
  <c r="F209"/>
  <c r="F207"/>
  <c r="F212"/>
  <c r="F213"/>
  <c r="F214"/>
  <c r="F208"/>
  <c r="F210"/>
  <c r="C115"/>
  <c r="C113"/>
  <c r="C371"/>
  <c r="C404"/>
  <c r="C403"/>
  <c r="C374"/>
  <c r="C373"/>
  <c r="C370"/>
  <c r="C369"/>
  <c r="C323"/>
  <c r="C321"/>
  <c r="C319"/>
  <c r="C317"/>
  <c r="C316"/>
  <c r="C307"/>
  <c r="C304"/>
  <c r="C303"/>
  <c r="C302"/>
  <c r="C301"/>
  <c r="C298"/>
  <c r="C295"/>
  <c r="C294"/>
  <c r="C291"/>
  <c r="C290"/>
  <c r="C287"/>
  <c r="C284"/>
  <c r="C280"/>
  <c r="C278"/>
  <c r="C277"/>
  <c r="C276"/>
  <c r="C255"/>
  <c r="C242"/>
  <c r="C241"/>
  <c r="C240"/>
  <c r="C239"/>
  <c r="C236"/>
  <c r="C233"/>
  <c r="C232"/>
  <c r="C230"/>
  <c r="C227"/>
  <c r="C226"/>
  <c r="C219"/>
  <c r="C222" s="1"/>
  <c r="C182"/>
  <c r="C177"/>
  <c r="C175"/>
  <c r="C174"/>
  <c r="C171"/>
  <c r="C168"/>
  <c r="C161"/>
  <c r="C158"/>
  <c r="C157"/>
  <c r="C156"/>
  <c r="C153"/>
  <c r="C147"/>
  <c r="C142"/>
  <c r="C141"/>
  <c r="C120"/>
  <c r="C119"/>
  <c r="C118"/>
  <c r="C117"/>
  <c r="C114"/>
  <c r="C112"/>
  <c r="C111"/>
  <c r="C110"/>
  <c r="C109"/>
  <c r="C102"/>
  <c r="C101"/>
  <c r="F107"/>
  <c r="C331"/>
  <c r="C330"/>
  <c r="C332"/>
  <c r="C54"/>
  <c r="F54" s="1"/>
  <c r="C53"/>
  <c r="F197"/>
  <c r="F264"/>
  <c r="C150" l="1"/>
  <c r="C281"/>
  <c r="C324"/>
  <c r="F111"/>
  <c r="F115"/>
  <c r="F113"/>
  <c r="F410"/>
  <c r="F411"/>
  <c r="C413"/>
  <c r="F413" s="1"/>
  <c r="C412"/>
  <c r="F412" s="1"/>
  <c r="F409"/>
  <c r="F129"/>
  <c r="G129" s="1"/>
  <c r="F381"/>
  <c r="F379"/>
  <c r="F378"/>
  <c r="F196"/>
  <c r="F195"/>
  <c r="C380"/>
  <c r="F380" s="1"/>
  <c r="F362"/>
  <c r="G362" s="1"/>
  <c r="J353"/>
  <c r="I353"/>
  <c r="J352"/>
  <c r="I352"/>
  <c r="C347"/>
  <c r="C346"/>
  <c r="F346" s="1"/>
  <c r="F365"/>
  <c r="G365" s="1"/>
  <c r="K356"/>
  <c r="J356"/>
  <c r="I356"/>
  <c r="C343"/>
  <c r="F343" s="1"/>
  <c r="C342"/>
  <c r="F342" s="1"/>
  <c r="C341"/>
  <c r="F341" s="1"/>
  <c r="C340"/>
  <c r="F340" s="1"/>
  <c r="C339"/>
  <c r="F339" s="1"/>
  <c r="C337"/>
  <c r="F337" s="1"/>
  <c r="C336"/>
  <c r="F336" s="1"/>
  <c r="C338"/>
  <c r="F329"/>
  <c r="F332"/>
  <c r="F331"/>
  <c r="F330"/>
  <c r="F53"/>
  <c r="C328"/>
  <c r="F328" s="1"/>
  <c r="C327"/>
  <c r="F327" s="1"/>
  <c r="F101"/>
  <c r="F373"/>
  <c r="C372"/>
  <c r="F372" s="1"/>
  <c r="F374"/>
  <c r="F368"/>
  <c r="C116"/>
  <c r="F116" s="1"/>
  <c r="F108"/>
  <c r="F106"/>
  <c r="F105"/>
  <c r="C45"/>
  <c r="F44"/>
  <c r="C55"/>
  <c r="F55" s="1"/>
  <c r="C86"/>
  <c r="F86" s="1"/>
  <c r="C80"/>
  <c r="C81"/>
  <c r="F81" s="1"/>
  <c r="C68"/>
  <c r="F68" s="1"/>
  <c r="C69"/>
  <c r="F69" s="1"/>
  <c r="C67"/>
  <c r="F67" s="1"/>
  <c r="C60"/>
  <c r="F60" s="1"/>
  <c r="F48"/>
  <c r="F47"/>
  <c r="F46"/>
  <c r="F49"/>
  <c r="C65"/>
  <c r="F65" s="1"/>
  <c r="C64"/>
  <c r="F64" s="1"/>
  <c r="C61"/>
  <c r="F61" s="1"/>
  <c r="C75"/>
  <c r="F75" s="1"/>
  <c r="C74"/>
  <c r="F74" s="1"/>
  <c r="C73"/>
  <c r="F73" s="1"/>
  <c r="I90"/>
  <c r="K90"/>
  <c r="J90"/>
  <c r="J38"/>
  <c r="I84"/>
  <c r="J84"/>
  <c r="I85"/>
  <c r="J85"/>
  <c r="C72"/>
  <c r="F72" s="1"/>
  <c r="C66"/>
  <c r="F66" s="1"/>
  <c r="C63"/>
  <c r="F63" s="1"/>
  <c r="C62"/>
  <c r="F52"/>
  <c r="F51"/>
  <c r="F50"/>
  <c r="C59"/>
  <c r="F59" s="1"/>
  <c r="K38"/>
  <c r="I36"/>
  <c r="J36"/>
  <c r="K36"/>
  <c r="F95"/>
  <c r="F121"/>
  <c r="F132"/>
  <c r="F137"/>
  <c r="F149"/>
  <c r="F181"/>
  <c r="F183"/>
  <c r="F191"/>
  <c r="F192"/>
  <c r="F193"/>
  <c r="F194"/>
  <c r="F198"/>
  <c r="F201"/>
  <c r="F202"/>
  <c r="F203"/>
  <c r="F204"/>
  <c r="F205"/>
  <c r="F206"/>
  <c r="F211"/>
  <c r="F218"/>
  <c r="F225"/>
  <c r="F231"/>
  <c r="F248"/>
  <c r="F249"/>
  <c r="F250"/>
  <c r="F251"/>
  <c r="F258"/>
  <c r="F259"/>
  <c r="F260"/>
  <c r="F261"/>
  <c r="F262"/>
  <c r="F263"/>
  <c r="F265"/>
  <c r="F268"/>
  <c r="F269"/>
  <c r="F272"/>
  <c r="F278"/>
  <c r="F295"/>
  <c r="F310"/>
  <c r="F311"/>
  <c r="F315"/>
  <c r="F377"/>
  <c r="F382"/>
  <c r="F133"/>
  <c r="F386"/>
  <c r="F389"/>
  <c r="F393"/>
  <c r="F394"/>
  <c r="F395"/>
  <c r="F396"/>
  <c r="F408"/>
  <c r="F124"/>
  <c r="F125"/>
  <c r="F126"/>
  <c r="F404"/>
  <c r="F420"/>
  <c r="G420" s="1"/>
  <c r="F403"/>
  <c r="F407"/>
  <c r="C401"/>
  <c r="F401" s="1"/>
  <c r="C400"/>
  <c r="F290"/>
  <c r="F323"/>
  <c r="F316"/>
  <c r="F322"/>
  <c r="F319"/>
  <c r="F320"/>
  <c r="F318"/>
  <c r="F317"/>
  <c r="F321"/>
  <c r="F221"/>
  <c r="F301"/>
  <c r="F307"/>
  <c r="F287"/>
  <c r="F304"/>
  <c r="F302"/>
  <c r="F303"/>
  <c r="F294"/>
  <c r="F291"/>
  <c r="F280"/>
  <c r="F284"/>
  <c r="F276"/>
  <c r="F279"/>
  <c r="F277"/>
  <c r="F233"/>
  <c r="F232"/>
  <c r="F220"/>
  <c r="C245"/>
  <c r="F245" s="1"/>
  <c r="F241"/>
  <c r="F242"/>
  <c r="F236"/>
  <c r="F239"/>
  <c r="F230"/>
  <c r="F226"/>
  <c r="F227"/>
  <c r="F219"/>
  <c r="F240"/>
  <c r="F255"/>
  <c r="F254"/>
  <c r="F102"/>
  <c r="F158"/>
  <c r="F156"/>
  <c r="F157"/>
  <c r="F174"/>
  <c r="F175"/>
  <c r="C176"/>
  <c r="F176" s="1"/>
  <c r="C178"/>
  <c r="F178" s="1"/>
  <c r="F177"/>
  <c r="F167"/>
  <c r="F168"/>
  <c r="F187"/>
  <c r="F166"/>
  <c r="F165"/>
  <c r="F171"/>
  <c r="C162"/>
  <c r="F162" s="1"/>
  <c r="F139"/>
  <c r="F161"/>
  <c r="F188"/>
  <c r="F182"/>
  <c r="F148"/>
  <c r="F147"/>
  <c r="F146"/>
  <c r="F145"/>
  <c r="F144"/>
  <c r="F141"/>
  <c r="F140"/>
  <c r="F143"/>
  <c r="F142"/>
  <c r="F138"/>
  <c r="F120"/>
  <c r="F119"/>
  <c r="F118"/>
  <c r="F117"/>
  <c r="F96"/>
  <c r="F45" l="1"/>
  <c r="C56"/>
  <c r="F56" s="1"/>
  <c r="F400"/>
  <c r="C402"/>
  <c r="F402" s="1"/>
  <c r="G214"/>
  <c r="C355"/>
  <c r="F355" s="1"/>
  <c r="G413"/>
  <c r="G158"/>
  <c r="G396"/>
  <c r="C85"/>
  <c r="F85" s="1"/>
  <c r="C354"/>
  <c r="F354" s="1"/>
  <c r="F399"/>
  <c r="C351"/>
  <c r="C350"/>
  <c r="C84"/>
  <c r="F80"/>
  <c r="C92"/>
  <c r="F110"/>
  <c r="G126"/>
  <c r="F347"/>
  <c r="G347" s="1"/>
  <c r="F338"/>
  <c r="G343" s="1"/>
  <c r="G102"/>
  <c r="C333"/>
  <c r="F333" s="1"/>
  <c r="G333" s="1"/>
  <c r="F370"/>
  <c r="F114"/>
  <c r="F109"/>
  <c r="F369"/>
  <c r="F371"/>
  <c r="F112"/>
  <c r="C90"/>
  <c r="C87"/>
  <c r="F87" s="1"/>
  <c r="F62"/>
  <c r="G69" s="1"/>
  <c r="G133"/>
  <c r="F98"/>
  <c r="F84"/>
  <c r="C78"/>
  <c r="G75"/>
  <c r="F43"/>
  <c r="F97"/>
  <c r="G171"/>
  <c r="G307"/>
  <c r="G287"/>
  <c r="F298"/>
  <c r="G298" s="1"/>
  <c r="F153"/>
  <c r="G153" s="1"/>
  <c r="F324"/>
  <c r="G291"/>
  <c r="G382"/>
  <c r="F222"/>
  <c r="G311"/>
  <c r="G227"/>
  <c r="F281"/>
  <c r="G295"/>
  <c r="G233"/>
  <c r="G304"/>
  <c r="G284"/>
  <c r="F150"/>
  <c r="F184"/>
  <c r="G404" l="1"/>
  <c r="C79"/>
  <c r="C83" s="1"/>
  <c r="F83" s="1"/>
  <c r="C82"/>
  <c r="F82" s="1"/>
  <c r="F90"/>
  <c r="C91"/>
  <c r="C358"/>
  <c r="F358" s="1"/>
  <c r="C352"/>
  <c r="F352" s="1"/>
  <c r="C359"/>
  <c r="F359" s="1"/>
  <c r="C353"/>
  <c r="F353" s="1"/>
  <c r="F350"/>
  <c r="F351"/>
  <c r="G374"/>
  <c r="G121"/>
  <c r="G98"/>
  <c r="F78"/>
  <c r="G56"/>
  <c r="G281"/>
  <c r="G324"/>
  <c r="F79" l="1"/>
  <c r="G87" s="1"/>
  <c r="G355"/>
  <c r="G359"/>
  <c r="F91"/>
  <c r="F92"/>
  <c r="G255"/>
  <c r="G162"/>
  <c r="G168"/>
  <c r="G92" l="1"/>
  <c r="G150"/>
  <c r="G386"/>
  <c r="G389"/>
  <c r="G222"/>
  <c r="G236"/>
  <c r="G245"/>
  <c r="G188"/>
  <c r="G178" l="1"/>
  <c r="G251"/>
  <c r="G265"/>
  <c r="G272"/>
  <c r="G242"/>
  <c r="G184"/>
  <c r="G198"/>
  <c r="G422" l="1"/>
  <c r="F428" l="1"/>
  <c r="F426"/>
  <c r="E39" i="4"/>
  <c r="A4" i="3"/>
  <c r="F424" i="1" l="1"/>
  <c r="F430"/>
  <c r="F427"/>
  <c r="F431" s="1"/>
  <c r="F425"/>
  <c r="F429"/>
  <c r="E29" i="4"/>
  <c r="F57"/>
  <c r="G432" i="1" l="1"/>
  <c r="G434" s="1"/>
  <c r="A19" i="3"/>
  <c r="B12" i="4"/>
  <c r="D9" i="2"/>
  <c r="D8"/>
  <c r="D7"/>
  <c r="A5" i="3" l="1"/>
  <c r="A3"/>
  <c r="A2"/>
  <c r="C29" i="4" l="1"/>
  <c r="G29" s="1"/>
  <c r="C22"/>
  <c r="C28"/>
  <c r="C23" l="1"/>
  <c r="E19"/>
  <c r="E20"/>
  <c r="E22"/>
  <c r="G22" s="1"/>
  <c r="G12"/>
  <c r="G14" s="1"/>
  <c r="C20"/>
  <c r="C19"/>
  <c r="E12"/>
  <c r="E14" s="1"/>
  <c r="G20" l="1"/>
  <c r="G19"/>
  <c r="I14" i="2"/>
  <c r="C21" i="4"/>
  <c r="E21"/>
  <c r="E23" s="1"/>
  <c r="E18"/>
  <c r="C18"/>
  <c r="E28"/>
  <c r="E24" l="1"/>
  <c r="G21"/>
  <c r="G23"/>
  <c r="G18"/>
  <c r="G28"/>
  <c r="G24" l="1"/>
  <c r="G26" s="1"/>
  <c r="G31" s="1"/>
  <c r="E26"/>
  <c r="E31" s="1"/>
  <c r="E41" s="1"/>
  <c r="C41" s="1"/>
  <c r="C24"/>
  <c r="I52" i="2"/>
  <c r="E37" i="4" l="1"/>
  <c r="E38" s="1"/>
  <c r="E43" s="1"/>
  <c r="E46" s="1"/>
  <c r="E48" l="1"/>
  <c r="I39" i="2" s="1"/>
  <c r="I49" l="1"/>
  <c r="C12" i="4" l="1"/>
  <c r="C14" s="1"/>
  <c r="C26" s="1"/>
  <c r="C31" s="1"/>
  <c r="I10" i="2" l="1"/>
  <c r="E34" i="4"/>
  <c r="E35" s="1"/>
  <c r="H15" i="2" l="1"/>
  <c r="I18"/>
  <c r="I22" s="1"/>
  <c r="I41" s="1"/>
</calcChain>
</file>

<file path=xl/sharedStrings.xml><?xml version="1.0" encoding="utf-8"?>
<sst xmlns="http://schemas.openxmlformats.org/spreadsheetml/2006/main" count="900" uniqueCount="444">
  <si>
    <t>CENTRO DE DESARROLLO Y COMPETITIVIDAD INDUSTRIAL</t>
  </si>
  <si>
    <t>PARTIDAS</t>
  </si>
  <si>
    <t>CANTIDAD</t>
  </si>
  <si>
    <t>P.U.</t>
  </si>
  <si>
    <t>UD</t>
  </si>
  <si>
    <t>GASTOS GENERALES</t>
  </si>
  <si>
    <r>
      <t>PRO</t>
    </r>
    <r>
      <rPr>
        <b/>
        <sz val="16"/>
        <rFont val="Antique Olive"/>
        <family val="2"/>
      </rPr>
      <t>i</t>
    </r>
    <r>
      <rPr>
        <sz val="16"/>
        <rFont val="Helvetica"/>
        <family val="2"/>
      </rPr>
      <t>NDUSTRIA</t>
    </r>
  </si>
  <si>
    <t>GERENCIA TECNICA</t>
  </si>
  <si>
    <t>ESTADO DE CUENTAS PARA CONTROL DE PAGOS A LOS CONTRATISTAS</t>
  </si>
  <si>
    <t>CONTRATISTA</t>
  </si>
  <si>
    <t>OBRA QUE REALIZA</t>
  </si>
  <si>
    <t>CONTRATO No.</t>
  </si>
  <si>
    <t>MONTO RD$</t>
  </si>
  <si>
    <t>ORDEN  DE TRABAJO No.</t>
  </si>
  <si>
    <t xml:space="preserve">PARTIDAS NO REALIZADAS </t>
  </si>
  <si>
    <t>TOTAL DE CONTRATOS Y OTROS  RD$</t>
  </si>
  <si>
    <t>AVANCES INICIALES:</t>
  </si>
  <si>
    <t>a) CONTRATO</t>
  </si>
  <si>
    <t>%,CK#</t>
  </si>
  <si>
    <t>Mes</t>
  </si>
  <si>
    <t>RD$</t>
  </si>
  <si>
    <t>c) ORDEN</t>
  </si>
  <si>
    <t>d) ORDEN</t>
  </si>
  <si>
    <t>e) ORDEN</t>
  </si>
  <si>
    <t>SUB-TOTAL AVANCES INICIALES.......................................</t>
  </si>
  <si>
    <t>.............RD$</t>
  </si>
  <si>
    <t>CUBICACION</t>
  </si>
  <si>
    <t>01, CK#</t>
  </si>
  <si>
    <t>del mes</t>
  </si>
  <si>
    <t>02, CK#</t>
  </si>
  <si>
    <t>03, CK#</t>
  </si>
  <si>
    <t>04, CK#</t>
  </si>
  <si>
    <t>05, CK#</t>
  </si>
  <si>
    <t>06, CK#</t>
  </si>
  <si>
    <t>07, CK#</t>
  </si>
  <si>
    <t>08, CK#</t>
  </si>
  <si>
    <t>09, CK#</t>
  </si>
  <si>
    <t>10, CK#</t>
  </si>
  <si>
    <t>AVANCE  CUBICACION</t>
  </si>
  <si>
    <t>,CK#</t>
  </si>
  <si>
    <t>mes____________</t>
  </si>
  <si>
    <t>OTROS</t>
  </si>
  <si>
    <t>CREDITOS:</t>
  </si>
  <si>
    <t>MONTO PENDIENTE DE EJECUCION</t>
  </si>
  <si>
    <t>FIRMA</t>
  </si>
  <si>
    <t>FECHA</t>
  </si>
  <si>
    <t>DETALLE DE CUBICACIONES</t>
  </si>
  <si>
    <t>OBRAS CUBICADAS</t>
  </si>
  <si>
    <t>(VALORES EN RD$)</t>
  </si>
  <si>
    <t>SUB</t>
  </si>
  <si>
    <t>MONTO</t>
  </si>
  <si>
    <t>POR EJECUTAR</t>
  </si>
  <si>
    <t>TOTALES</t>
  </si>
  <si>
    <t>PRESUPUESTADO</t>
  </si>
  <si>
    <t>CUBICADO</t>
  </si>
  <si>
    <t>SUB - TOTAL</t>
  </si>
  <si>
    <t>SUB - TOTAL GENERAL</t>
  </si>
  <si>
    <t xml:space="preserve">TOTAL GENERAL DE OBRAS </t>
  </si>
  <si>
    <t>TOTAL PRESUPUESTADO</t>
  </si>
  <si>
    <t>TOTAL CONTRATADO</t>
  </si>
  <si>
    <t>DISPONIBLE</t>
  </si>
  <si>
    <t>AVANCE</t>
  </si>
  <si>
    <t>DISPONIBLE DESPUES DE AMORTIZACION</t>
  </si>
  <si>
    <t>SALDO A FAVOR AL  31/08/99</t>
  </si>
  <si>
    <t>Revisado por :</t>
  </si>
  <si>
    <t>No</t>
  </si>
  <si>
    <t>Administración</t>
  </si>
  <si>
    <t>ADMINISTRACION                              5%</t>
  </si>
  <si>
    <t>TRANSPORTE                                   3%</t>
  </si>
  <si>
    <t>DIRECCION TECNICA                       10%</t>
  </si>
  <si>
    <t>SUB-TOTAL GASTOS GENERALES</t>
  </si>
  <si>
    <t>LUGAR</t>
  </si>
  <si>
    <t>SUB-TOTAL CUBICACIONES Y AVANCES.................................</t>
  </si>
  <si>
    <t>MONTO TOTAL CUBICACION</t>
  </si>
  <si>
    <t xml:space="preserve"> OBRA:</t>
  </si>
  <si>
    <t xml:space="preserve">RETENCION 1%      </t>
  </si>
  <si>
    <t>Aceptado por</t>
  </si>
  <si>
    <t>Contratista</t>
  </si>
  <si>
    <t xml:space="preserve">SEGUROS Y FIANZAS                      4.5% </t>
  </si>
  <si>
    <t>ITBIS a la direccion técnica                18%</t>
  </si>
  <si>
    <t>SUPERVISION                                  5%</t>
  </si>
  <si>
    <t>Ley 6-86 (jubilación de los trabajadores) 1%</t>
  </si>
  <si>
    <t xml:space="preserve">    Preparado por : </t>
  </si>
  <si>
    <t>ARQ. DIGNA SUSANA MOJICA</t>
  </si>
  <si>
    <t>Encargada Interina de Ingeniería</t>
  </si>
  <si>
    <t>CDCI-CO-37-3-2014</t>
  </si>
  <si>
    <t>A</t>
  </si>
  <si>
    <t>M2</t>
  </si>
  <si>
    <t>I</t>
  </si>
  <si>
    <t>IMPREVISTOS                                  5%</t>
  </si>
  <si>
    <t>CONTRATISTA     : CONSTRUCTORA MARRERO DIAZ, SRL</t>
  </si>
  <si>
    <t>OBRA                      : REPARACION GENERAL DE NAVES</t>
  </si>
  <si>
    <t>UBICACION           : PARQUE INDUSTRIAL LA CANELA</t>
  </si>
  <si>
    <t>AMORTIZACION AVANCE 20%</t>
  </si>
  <si>
    <t>31/03/2014</t>
  </si>
  <si>
    <t xml:space="preserve"> CUBICACION        : No 02</t>
  </si>
  <si>
    <t>MONTO DE CUBICACION No 02</t>
  </si>
  <si>
    <t>CUBICACION 01</t>
  </si>
  <si>
    <t>CUBICADO AL 21 DE MAYO DEL 2014</t>
  </si>
  <si>
    <t>SALDO A SU FAVOR AL 21 DE MAYO DEL 2014</t>
  </si>
  <si>
    <t>CUBICADO Y NO PAGADO AL 21 DEL MAYO DE 2014</t>
  </si>
  <si>
    <t xml:space="preserve"> FECHA                    : 21 DE MAYO DEL 2014</t>
  </si>
  <si>
    <t>REPORTE DE CUBICACION AL 21 DE MAYO DEL 2014</t>
  </si>
  <si>
    <t>FREYDOLE A. FÉLIZ</t>
  </si>
  <si>
    <t>Auxiliar de Ingenieria</t>
  </si>
  <si>
    <t>2841</t>
  </si>
  <si>
    <t>MONTO SOLICITADO DE CUBICACION No 02</t>
  </si>
  <si>
    <t>II</t>
  </si>
  <si>
    <t>III</t>
  </si>
  <si>
    <t>IV</t>
  </si>
  <si>
    <t>V</t>
  </si>
  <si>
    <t>VI</t>
  </si>
  <si>
    <t>TOTAL</t>
  </si>
  <si>
    <t>SUB-TOTAL</t>
  </si>
  <si>
    <t xml:space="preserve">Transporte </t>
  </si>
  <si>
    <t>DEPARTAMENTO DE DISEÑO Y DESARROLLO DE PROYECTOS</t>
  </si>
  <si>
    <t>INSTALACIONES ELECTRICAS</t>
  </si>
  <si>
    <t>UDS</t>
  </si>
  <si>
    <t>INSTALACIONES SANITARIAS</t>
  </si>
  <si>
    <t>VII</t>
  </si>
  <si>
    <t>PINTURA</t>
  </si>
  <si>
    <t>VIII</t>
  </si>
  <si>
    <t xml:space="preserve">Supervisión </t>
  </si>
  <si>
    <t>VENTANAS</t>
  </si>
  <si>
    <t>PISOS</t>
  </si>
  <si>
    <t>BAÑOS</t>
  </si>
  <si>
    <t>NAVE</t>
  </si>
  <si>
    <t xml:space="preserve">IMPERMEABILIZACION EN TECHO </t>
  </si>
  <si>
    <t>REVESTIMIENTOS</t>
  </si>
  <si>
    <t>OFICINA</t>
  </si>
  <si>
    <t>Suministro y colocación de salidas cenitales</t>
  </si>
  <si>
    <t>CUARTO DE PLANTA</t>
  </si>
  <si>
    <t>P2</t>
  </si>
  <si>
    <t xml:space="preserve">Suministro y colocación de pintura acrilica en interior </t>
  </si>
  <si>
    <t xml:space="preserve">Suministro y colocación de pintura acrilica en exterior </t>
  </si>
  <si>
    <t xml:space="preserve"> </t>
  </si>
  <si>
    <t>Suministro y colocación de Inodoros simplex</t>
  </si>
  <si>
    <t>Suministro y colocación de lavamanos simplex</t>
  </si>
  <si>
    <t>PORTAJE</t>
  </si>
  <si>
    <t>TOTAL COSTOS DIRECTOS</t>
  </si>
  <si>
    <t>Seguros y Fianzas</t>
  </si>
  <si>
    <t xml:space="preserve">Dirección Técnica </t>
  </si>
  <si>
    <t>Ley 6-86 (Pensión y Jubilación Obreros de la Construcción)</t>
  </si>
  <si>
    <t>CODIA (Decreto 319-88)</t>
  </si>
  <si>
    <t>ITBIS (Sobre Dirección Técnica)</t>
  </si>
  <si>
    <t>TOTAL COSTOS INDIRECTOS</t>
  </si>
  <si>
    <t>TOTAL GENERAL</t>
  </si>
  <si>
    <t>PRELIMINARES</t>
  </si>
  <si>
    <t>Desague de piso</t>
  </si>
  <si>
    <t>M3</t>
  </si>
  <si>
    <t>Pl</t>
  </si>
  <si>
    <t>Bote de material producto de las demoliciones</t>
  </si>
  <si>
    <t>TERMINACION EN SUPERFICIE</t>
  </si>
  <si>
    <t>Desmonte de puerta de tola</t>
  </si>
  <si>
    <t>Desmonte y traslado de Inodoros simplex</t>
  </si>
  <si>
    <t>Suministro y colocación de orinales</t>
  </si>
  <si>
    <t>PISO</t>
  </si>
  <si>
    <t>CISTERNAS</t>
  </si>
  <si>
    <t>HORMIGONES</t>
  </si>
  <si>
    <t>IX</t>
  </si>
  <si>
    <t xml:space="preserve">Suministro y colocación de pintura acrilica en muros interior </t>
  </si>
  <si>
    <t xml:space="preserve">Suministro y colocación de pintura acrilica en muros exterior </t>
  </si>
  <si>
    <t>P.A</t>
  </si>
  <si>
    <t>Suministro y colocación de parachoques</t>
  </si>
  <si>
    <t>Suministro y Colocación de tomacorrientes 110 volt.</t>
  </si>
  <si>
    <t>Suministro y Colocación de tomacorrientes 220 volt.</t>
  </si>
  <si>
    <t>PRESUPUESTO:</t>
  </si>
  <si>
    <t>ML</t>
  </si>
  <si>
    <t>M3E</t>
  </si>
  <si>
    <t xml:space="preserve">TERMINACION EN TECHO </t>
  </si>
  <si>
    <t xml:space="preserve">Suministro y colocación de pintura acrilica en techo </t>
  </si>
  <si>
    <t>Bote de material producto de la demiliciones</t>
  </si>
  <si>
    <t>XI</t>
  </si>
  <si>
    <t>Bote de material demolido</t>
  </si>
  <si>
    <t>M</t>
  </si>
  <si>
    <t>Limpieza en área de baños</t>
  </si>
  <si>
    <t>Suministro y colocación de puertas comercial</t>
  </si>
  <si>
    <t>MUROS</t>
  </si>
  <si>
    <t>X</t>
  </si>
  <si>
    <t>uds</t>
  </si>
  <si>
    <t>Suministro y Colocación de cenitales</t>
  </si>
  <si>
    <t>Suministro y Colocación de interruptores simplex</t>
  </si>
  <si>
    <t>Suministro y Colocación de interruptor Doble</t>
  </si>
  <si>
    <t>Suministro y Colocación de salidas de antenas</t>
  </si>
  <si>
    <t xml:space="preserve">Suministro y colocación de pintura acrilica en  techo </t>
  </si>
  <si>
    <t>IMPERMEABILIZANTE EN TECHO</t>
  </si>
  <si>
    <t>Limpieza en área lateral derecha</t>
  </si>
  <si>
    <t>P.2</t>
  </si>
  <si>
    <t xml:space="preserve">M </t>
  </si>
  <si>
    <t>Pañete en muros interiores</t>
  </si>
  <si>
    <t>Pañete en muros exteriores</t>
  </si>
  <si>
    <t>NAVE SOLAR 1, MANZANA B.</t>
  </si>
  <si>
    <t>Demolición de pañete general en interior de nave</t>
  </si>
  <si>
    <t>Demolición de pañete exterior de nave</t>
  </si>
  <si>
    <t>Demolición de mochetas en huecos de puertas y ventanas</t>
  </si>
  <si>
    <t>Fraguache en muros interiores</t>
  </si>
  <si>
    <t>Mochetas en huecos de puestas y ventanas</t>
  </si>
  <si>
    <t>Cantos en huecos de puertas y ventanas</t>
  </si>
  <si>
    <t>Desmonte y traslado de protectores de ventanas</t>
  </si>
  <si>
    <t>Fraguache en muros exteriores</t>
  </si>
  <si>
    <t>ESTRUCTURA METALICA</t>
  </si>
  <si>
    <t>Desmonte de protectores de ventanas</t>
  </si>
  <si>
    <t>Desmonte de puerta de hierro en caseta de bomba</t>
  </si>
  <si>
    <t>Desmonte y traslado de marcos de puertas</t>
  </si>
  <si>
    <t>Desmonte y traslado de inodoros simplex</t>
  </si>
  <si>
    <t>Remocion de pintura en techo</t>
  </si>
  <si>
    <t>Desmonte y traslado de lavamano simplex</t>
  </si>
  <si>
    <t>Desmantelamiento de plywood en baño de supervisor</t>
  </si>
  <si>
    <t>Mochetas en ventanas</t>
  </si>
  <si>
    <t>Cantos en ventanas y aristas</t>
  </si>
  <si>
    <t>Pañete en muro lateral derecho y pared posterior</t>
  </si>
  <si>
    <t>Pintura acrilica en techo</t>
  </si>
  <si>
    <t xml:space="preserve">Pintura acrilica en muros interiores </t>
  </si>
  <si>
    <t xml:space="preserve">Pintura acrilica en muros exteriores </t>
  </si>
  <si>
    <t>Rapillado de pintura en muro colindante con la nave</t>
  </si>
  <si>
    <t xml:space="preserve">M3 </t>
  </si>
  <si>
    <t xml:space="preserve">M2 </t>
  </si>
  <si>
    <t>Desmonte y traslado de techo de aluzinc con estructura ligera (perfiles 2"x 4")</t>
  </si>
  <si>
    <t>RECONSTRUCCION DE COMEDOR</t>
  </si>
  <si>
    <t>MOVIMIENTO DE TIERRA</t>
  </si>
  <si>
    <t>XII</t>
  </si>
  <si>
    <t>PARTE EXTERIOR DE LA NAVE</t>
  </si>
  <si>
    <t>Limpieza de exteriores a la nave</t>
  </si>
  <si>
    <t>Fraguache en muro lateral derecho y pared posterior</t>
  </si>
  <si>
    <t>M3C</t>
  </si>
  <si>
    <t>HORMIGON</t>
  </si>
  <si>
    <t>ACERAS</t>
  </si>
  <si>
    <t>VERJA FRONTAL</t>
  </si>
  <si>
    <t>AREAS VERDES</t>
  </si>
  <si>
    <t xml:space="preserve">Pintura acrilica en muros de verja </t>
  </si>
  <si>
    <t>SISTEMA PLUVIAL EN RAMPA</t>
  </si>
  <si>
    <t xml:space="preserve">ud </t>
  </si>
  <si>
    <t>Reparación y acondicionamiento de tapa de cisterna (incluye limpieza y pintura de la tapa)</t>
  </si>
  <si>
    <t>Demolición de zabaleta de techo</t>
  </si>
  <si>
    <t>Demolición de pañete en lateral derecho</t>
  </si>
  <si>
    <t>Demolición de zabaleta en cuarto de planta</t>
  </si>
  <si>
    <t>Demolición de fino en cuarto de planta</t>
  </si>
  <si>
    <t>Conexión desde la salida del baño hasta los filtrantes sondear</t>
  </si>
  <si>
    <t>Hormigón simple para reparar esquida de losa de techo del baño en mal estado (incluye: mocheta, cantos, fino y pañete)</t>
  </si>
  <si>
    <t>Bote de material producto de la demolición de piso</t>
  </si>
  <si>
    <t xml:space="preserve">Suministro y colocación de block de 6" para cerras puerta de entrada a la nave </t>
  </si>
  <si>
    <t>Demolición de pañete en pared en oficina de personal y cocina comedor</t>
  </si>
  <si>
    <t>Demolición de pañete en techo en oficina de personal y cocina comedor</t>
  </si>
  <si>
    <t>Demolición de zócalos de granito</t>
  </si>
  <si>
    <t>Demolición de fino de techo plano</t>
  </si>
  <si>
    <t>P.A.</t>
  </si>
  <si>
    <t>Limpieza y Bote de desperdicios en interior de nave</t>
  </si>
  <si>
    <t>Bote de material producto de las excavaciones de pedestales</t>
  </si>
  <si>
    <t>Hormigón armado en  zapata de pedestal 1.20x1.20x0.30 m, fy=4,200kg/cm², f'c 210 kg/cm², Ø1/2"@0.15m A.D.</t>
  </si>
  <si>
    <t>P</t>
  </si>
  <si>
    <t>Suministro y colocación de block de 6" S.N.P. con 3/8"@0.60m en cierre de hueco bajo ventana.</t>
  </si>
  <si>
    <t>Suministro y colocación de block de 6" S.N.P. con 3/8"@0.60m en muro lateral derecho de nave</t>
  </si>
  <si>
    <t>Suministro y colocación de block de 6" B.N.P. con 3/8"@0.60m en muro lateral derecho de nave</t>
  </si>
  <si>
    <t>Suministro y colocación de block de 8" B.N.P. con 3/8"@0.60m en muro de 0.20 m en perímetro rampa.</t>
  </si>
  <si>
    <t>MISCELANEOS</t>
  </si>
  <si>
    <t>Pañete en muros de rampa</t>
  </si>
  <si>
    <t>Fraguache en muros de rampa</t>
  </si>
  <si>
    <t>Mochetas en rampa</t>
  </si>
  <si>
    <t>Cantos en rampa</t>
  </si>
  <si>
    <t>Suministro y colocación de pintura acrilica en rampa</t>
  </si>
  <si>
    <t>Conexiones de tubería desde rampas hasta registro y de registro a Filtrante de descarga</t>
  </si>
  <si>
    <t>Suministro y colocación de block de 6" S.N.P. con 3/8"@0.60m</t>
  </si>
  <si>
    <t>Suministro y colocación de block de 6" B.N.P. con 3/8"@0.60m</t>
  </si>
  <si>
    <t xml:space="preserve">Suministro y colocación de meseta de marmolite </t>
  </si>
  <si>
    <t>A.1.</t>
  </si>
  <si>
    <t>A.2</t>
  </si>
  <si>
    <t>A.3</t>
  </si>
  <si>
    <t>A.4</t>
  </si>
  <si>
    <t>A.5</t>
  </si>
  <si>
    <t>A.6</t>
  </si>
  <si>
    <t>A.7</t>
  </si>
  <si>
    <t>Limpieza y Bote de desperdicios</t>
  </si>
  <si>
    <t>Suministro y colocación de fregadero simplex</t>
  </si>
  <si>
    <t>Limpieza de cisterna</t>
  </si>
  <si>
    <t>Desmonte y destronque de arboles (incluye bote)</t>
  </si>
  <si>
    <t>Destronque de arbles en área de rampa  (incluye bote)</t>
  </si>
  <si>
    <t>Poda de arboles (incluye bote)</t>
  </si>
  <si>
    <t xml:space="preserve">Reparación tope de colunmas de verja </t>
  </si>
  <si>
    <t>OBRA:</t>
  </si>
  <si>
    <t>UBICACION:</t>
  </si>
  <si>
    <t>FECHA:</t>
  </si>
  <si>
    <t>Suministro y colocación de aluzinc natural calibre 26.</t>
  </si>
  <si>
    <t>Alimentación desde poste hasta caseta de planta de nave</t>
  </si>
  <si>
    <t>Conexiones de tuberías de baños desde salida de baños a registros</t>
  </si>
  <si>
    <t>Suministro y colocación de puerta de tola de (1.80x2.60)m</t>
  </si>
  <si>
    <t>Suministro y colocación de aluzinc natural calibre 26</t>
  </si>
  <si>
    <t>Deshierbe y Limpieza exterior de áreas perimetrales a la nave</t>
  </si>
  <si>
    <t>Suministro y colocación de Placa de Apoyo Columnas Extremos; placa de 12"x12"x1/2", con 2 pernos Ø3/4" anclados a pedestal. Incluye Pintura Antióxido.</t>
  </si>
  <si>
    <t>Relleno compactado en área rampa</t>
  </si>
  <si>
    <t>Solución estructural en esquina posterior del lateral izquierdo de la nave, al lado de los baños</t>
  </si>
  <si>
    <t>Suministro y colocación de meseta de marmolite en cocina</t>
  </si>
  <si>
    <t>Suministro y colocación de fregadero simple</t>
  </si>
  <si>
    <t>Suministro y colocación de puerta de hierro en entrada peatonal, con planchuelas 1" x 3/16" cada 0.10m y tubos rectangulares 2" x 2". De (3.15 x1.70)m con paño fijo de (1.00 x 1.70)m</t>
  </si>
  <si>
    <t>Pintura acrilica en muros lateral izquierdo</t>
  </si>
  <si>
    <t>Reparación de verja metálica en parte frontal de nave (incluye pintura)</t>
  </si>
  <si>
    <t>Suministro y colocación de interruptor doble</t>
  </si>
  <si>
    <t>Suministro y colocación de interruptor simple</t>
  </si>
  <si>
    <t>Suministro y colocación de cerámica en pared</t>
  </si>
  <si>
    <t>Suministro y Colocación de salida de data</t>
  </si>
  <si>
    <t>Reparación de pañete producto de ranuración para colocar tubo eléctrico</t>
  </si>
  <si>
    <t>Suministro y Colocación de salida telefónica</t>
  </si>
  <si>
    <t>Suministro y Colocación de registro telefónico</t>
  </si>
  <si>
    <t>Suministro y Colocación de registro data</t>
  </si>
  <si>
    <t>Suministro y Colocación de caja de breaker de 8 @ 16 Circuitos.</t>
  </si>
  <si>
    <t>Alimentación desde caseta de planta nave hasta caja de breaker</t>
  </si>
  <si>
    <t>Alimentación desde poste hasta registro telefónico</t>
  </si>
  <si>
    <t>Suministro y Colocación de caja de breaker de 2 @ 4 Circuitos.</t>
  </si>
  <si>
    <t>ZONA FRANCA DE MOCA, M-B, S-1</t>
  </si>
  <si>
    <t xml:space="preserve">  </t>
  </si>
  <si>
    <t>Suministro y colocación de Placa de Apoyo Columnas Centrales; Acero A-36, Pernos A-325, Soldadura E-6018, placa de 12"x12"x1/2", con 4 pernos Ø3/4" anclados a pedestal. Incluye Pintura Antióxido.</t>
  </si>
  <si>
    <t>Suministro y colocación de Portacorrea de 6"x7"x3/16" ancladas a muro para fijar Correas; Acero A-36, Pernos A-325, Soldadura E-6018,. Incluye Pintura Antióxido.</t>
  </si>
  <si>
    <t>Suministro y colocación de Placa de Apoyo de Viga en columna de Amarre; Acero A-36, Pernos A-325, Soldadura E-6018, placa de 8"x20"x1/2", con 8 pernos Ø3/4". Incluye Pintura Antióxido.</t>
  </si>
  <si>
    <t>Suministro y colocación Columnas Centrales "PIPE", espesor nominal de 6"; Acero A-36, Pernos A-325, Soldadura E-6018, Incluye Placa de Apoyo Superior de 20"x6"x1/2", Atiezadores en Apoyo superior e inferior, Pintura Antióxido.</t>
  </si>
  <si>
    <t>Suministro y colocación de correa Z de 8"x3"x3/32"; Acero A-36, Pernos A-325, Soldadura E-6018, con tillas de 1/2" en centro de vano. Incluye Pintura Antióxido.</t>
  </si>
  <si>
    <t>Suministro y colocación de riostras diagonales Ø3/4" en Columnas; Acero A-36, Pernos A-325, Soldadura E-6018. Incluye Pintura Antióxido.</t>
  </si>
  <si>
    <t>Suministro y colocación de riostras diagonales Ø3/4" en Vigas; Acero A-36, Pernos A-325, Soldadura E-6018. Incluye Pintura Antióxido.</t>
  </si>
  <si>
    <t>Suministro y colocación de caballete de aluzinc calibre 26.</t>
  </si>
  <si>
    <t>Desmonte y traslado de cubrefalta de aluzinc calibre 26.</t>
  </si>
  <si>
    <t>Suministro y colocación de cubrefaltas de aluzinc calibre 26.</t>
  </si>
  <si>
    <t>Suministro y colocación de cañeria de aluzinc calibre 26.</t>
  </si>
  <si>
    <t>Suministro y colocación de piso de porcelanato económico</t>
  </si>
  <si>
    <t>Suministro y colocación de Placa de Apoyo Columnas Extremos; Acero A-36, Pernos A-325, Soldadura E-6018, placa de 12"x12"x1/2", con 2 pernos Ø3/4" anclados a pedestal. Incluye Pintura Antióxido.</t>
  </si>
  <si>
    <t>Suministro y colocación Columna Perfil W6x9; Acero A-36, Pernos A-325, Soldadura E-6018, Incluye Pintura Antióxido.</t>
  </si>
  <si>
    <t>Suministro y colocación Viga Perfil W6x9; Acero A-36, Pernos A-325, Soldadura E-6018. Incluye Portacorrea de 6"x7"x3/16", Pintura Antióxido.</t>
  </si>
  <si>
    <t>Desmonte y traslado de cubrefalta de aluzinc calibre 26</t>
  </si>
  <si>
    <t>Suministro y colocación de cubrefaltas de aluzinc  calibre 26</t>
  </si>
  <si>
    <t>Suministro y colocación de bajantes 4" calibre 26.</t>
  </si>
  <si>
    <t>Desmonte y traslado de marcos de puertas (0.90x2.10)m</t>
  </si>
  <si>
    <t>Desmonte y traslado de puertas (0.70x1.30)m</t>
  </si>
  <si>
    <t>Hormigón armado, E=0.15 m, con malla electrosóldada w2.5 x w2.5. (10x10)cm, f'c 210 kg/cm²</t>
  </si>
  <si>
    <t>Hormigón armado en  zapata de pedestal (1.20x1.20x0.30)m, fy=4,200kg/cm², f'c 210 kg/cm², Ø1/2"@ 0.20m A.D.</t>
  </si>
  <si>
    <t>Hormigón armado en zapata de columna de amarre (0.80x0.80x0.30)m, fy=4,200kg/cm², f'c 210 kg/cm², Ø1/2"@0.15m A.D.</t>
  </si>
  <si>
    <t>Hormigón armado de zapata de muro de 0.20 m en perímetro rampa; (0.60x0.25)m, fy=4,200kg/cm², f'c 210 kg/cm², Ø3/8"@0.15m, 4Ø3/8".</t>
  </si>
  <si>
    <t>Hormigón armado de zapata de muro de 0.15 m en perímetro rampa; (0.45x0.25)m, fy=4,200kg/cm², f'c 210 kg/cm², Ø3/8"@0.15m, 3Ø3/8".</t>
  </si>
  <si>
    <t>Hormigón armado en Pedestal (0.40x0.40)m, fy=4,200kg/cm², f'c 210 kg/cm², 8Ø3/4", Est. Ø3/8"@0.10m</t>
  </si>
  <si>
    <t>Hormigón armado de zapata de muro de 0.15m; (0.45x0.25)m, fy=4,200kg/cm², f'c 210 kg/cm², Ø3/8"@0.15m, 3Ø3/8".</t>
  </si>
  <si>
    <t>Hormigón armado de columna de amarre (0.20x0.20)m; fy=4,200kg/cm², f'c 210 kg/cm², Ø3/8"@0.20m, 4Ø1/2".</t>
  </si>
  <si>
    <t>Hormigón armado de viga de amarre (0.20x0.20)m; fy=4,200kg/cm², f'c 210 kg/cm², Ø3/8"@0.20m, 4Ø1/2".</t>
  </si>
  <si>
    <t>Hormigón armado de viga de amarre (0.15x0.20)m en muro; fy=4,200kg/cm², f'c=210 kg/cm², Ø3/8"@0.20m, 4Ø1/2".</t>
  </si>
  <si>
    <t>Hormigón armado de columna de amarre (0.20x0.20)m en perímetro rampa, fy=4,200kg/cm², f'c 210 kg/cm², Ø3/8"@0.20m, 4Ø1/2".</t>
  </si>
  <si>
    <t>Hormigón armado de viga de amarre (0.20x0.20)m en perímetro rampa, fy=4,200kg/cm², f'c 210 kg/cm², Ø3/8"@0.20m, 4Ø1/2".</t>
  </si>
  <si>
    <t>Hormigón armado de viga de amarre (0.20x0.20)m en muro lateral derecho de nave, fy=4,200kg/cm², f'c 210 kg/cm², Ø3/8"@0.20m, 4Ø1/2".</t>
  </si>
  <si>
    <t>Hormigón armado de viga de amarre (0.15x0.20)m en muro lateral derecho de nave, fy=4,200kg/cm², f'c 210 kg/cm², Ø3/8"@0.20m, 4Ø1/2".</t>
  </si>
  <si>
    <t>Suministro y colocación de cristal fijo de 1/4"</t>
  </si>
  <si>
    <t>Construcción de filtrante de 80' encamizado con tubo de Hierro Galvanizado de 8" para desague de rampas</t>
  </si>
  <si>
    <t>Torta de hormigón armado para colocar piso E= 0.08 m, con malla electrosóldada w(2.5x2.5), (15x15)cm, f'c 210 kg/cm².</t>
  </si>
  <si>
    <t>Construcción de registro con bloques de 6", medida interior de (0.60x0.60x0.70)m, con terminación en pañete pulido.</t>
  </si>
  <si>
    <t>Construcción de registro pluvial con bloques de 6", medida interior de (0.60x0.60x0.70)m, con terminacion en pañete pulido.</t>
  </si>
  <si>
    <t>Construcción de trampa de grasa con bloques de 6", medida interior de (1.00x0.80x0.75)m, con terminación en pañete pulido.</t>
  </si>
  <si>
    <t>Suministro y colocación de zócalo de porcelanato económico</t>
  </si>
  <si>
    <t>Fino de techo en superficie plana con arena lavada</t>
  </si>
  <si>
    <t>Zabaleta de techo con arena lavada</t>
  </si>
  <si>
    <t>Suministro y colocación de puertas de polimetal (0.90x2.10)m tipo ever last doors</t>
  </si>
  <si>
    <t>Suministro y colocación de puertas batientes en polimetal (0.70x1.30)m tipo ever last doors</t>
  </si>
  <si>
    <t>Rapillar techos afectados por el incendio (áreas:  La mitad de la oficina de personal y las paredes del baño de esta oficina)</t>
  </si>
  <si>
    <t>Rapillar paredes afectadas por el incendio (áreas de: Encargado de producción, gerente, recepción, y la mitad de la oficina de personal y baños)</t>
  </si>
  <si>
    <t>REPARACION DE NAVE INDUSTRIAL</t>
  </si>
  <si>
    <t>Excavación en caliche en perimetro de pedestal, para demolición de pedestal, (40x40x80)cm</t>
  </si>
  <si>
    <t>Excavación en caliche para ampliación de rampa dentro de nave</t>
  </si>
  <si>
    <t>Excavación en caliche para ampliación de rampa fuera de nave</t>
  </si>
  <si>
    <t>Excavación de caliche en zapata de pedestal (1.20x1.20)m</t>
  </si>
  <si>
    <t>Excavación de caliche para zapata de columna de amarre (0.80x0.80)m</t>
  </si>
  <si>
    <t xml:space="preserve">Excavación de caliche en zapata de 0.60m de ancho, en perímetro rampa, para colocación de muro de block de 8" </t>
  </si>
  <si>
    <t>Excavación de caliche en zapata de 0.45m de ancho, en perímetro rampa, para colocación de muro de block de 6"</t>
  </si>
  <si>
    <t xml:space="preserve">Reposición de material producto de excavación para demolición de pedestales (40x40x80)cm </t>
  </si>
  <si>
    <t>Reposición de material producto de excavación en zapata de pedestal de (1.20x1.20)m</t>
  </si>
  <si>
    <t>Reposición de material producto de excavación en columna de amarre de (0.80x0.80)m</t>
  </si>
  <si>
    <t>Reposición de material producto de excavación de zapata de 0.60m de ancho en perímetro de rampa, para colocación de muro de block de 8"</t>
  </si>
  <si>
    <t>Reposición de material producto de excavación de zapata de 0.45m de ancho en perímetro rampa, para colocación muro de block de 6"</t>
  </si>
  <si>
    <t>Bote de material producto de las excavaciones de pedestales, ampliación de rampa, zapatas de columnas y zapatas de muros.</t>
  </si>
  <si>
    <t>Hormigón armado en Piso en nave, E= 0.15 m, con doble malla electrosóldada w(2.5x2.5), (10x10)cm, f'c 210 kg/cm²</t>
  </si>
  <si>
    <t>Suministro y colocación de puertas de tola (1.80x2.50)m</t>
  </si>
  <si>
    <t>Desmonte y traslado de puertas de enrrollable (3.0x3.0)m</t>
  </si>
  <si>
    <t>Suministro y de puertas de enrrollable (3.0x4.0)m</t>
  </si>
  <si>
    <t>Suministro y colocación de ventanas Salomónicas de Aluminio AA reforzada blanco de primera calidad, con operadores de palanca fija.</t>
  </si>
  <si>
    <t>Desmonte y traslado demarcos de ventanas</t>
  </si>
  <si>
    <t>Demolición de piso de granito, incluye torta de hormigón simple.</t>
  </si>
  <si>
    <t>Demolición de muro de block de 0.15m de espesor (para ampliación de ventana)</t>
  </si>
  <si>
    <t>Demolición de muros de block de 0.15m de espesor los cuales sirven de soportes de lavadero de granito</t>
  </si>
  <si>
    <t>Demolición de block de 0.15m de espesor en caseta de bomba</t>
  </si>
  <si>
    <t>cantos en huecos ventanas</t>
  </si>
  <si>
    <t>Mochetas en huecos ventanas</t>
  </si>
  <si>
    <t>Pañete en hueco de puerta cerrada</t>
  </si>
  <si>
    <t>Fraguache en hueco de puerta cerrada</t>
  </si>
  <si>
    <t>Suministro y colocación de puerta de hierro de (0.90x2.10)m</t>
  </si>
  <si>
    <t>Desmonte y bote de marcos de ventanas</t>
  </si>
  <si>
    <t>Suministro y colocación de ventanas de cristal y aluminio P65 blanco corredizas</t>
  </si>
  <si>
    <t>Demolición de piso de cerámica, incluye torta de hormigón simple.</t>
  </si>
  <si>
    <t>Demolición de pileta en baño de mujeres, construido en block de 6"</t>
  </si>
  <si>
    <t>Demolición de block calado de 0.15m de espesor</t>
  </si>
  <si>
    <t>Suministro y colocación de block calado tipo ventana de 6" de espesor</t>
  </si>
  <si>
    <t>Demolición de muros de block de 6" de espesor</t>
  </si>
  <si>
    <t>Demolición de muro de hormigón simple en fregadero (0.55 x0.55x4.15)m</t>
  </si>
  <si>
    <t>Demolición de muro de block de 6" de espesor en soporte de fregaderos simple</t>
  </si>
  <si>
    <t>Desmonte y traslado de malla ciclónica de 6 pies de altura</t>
  </si>
  <si>
    <t>Excavación en caliche para zapata de pedestal (1.20x1.20)m</t>
  </si>
  <si>
    <t>Excavación en caliche para  zapata de columna de amarre (0.80x0.80)m</t>
  </si>
  <si>
    <t>Excavación en caliche para zapata de muro para block de 6" con un ancho de 0.45m.</t>
  </si>
  <si>
    <t>Reposición de material producto de excavación  de zapata de pedestal (1.20x1.20)m</t>
  </si>
  <si>
    <t>Reposición de material producto de excavación de zapata de columna de amarre (0.80x0.80)m</t>
  </si>
  <si>
    <t>Reposición de material producto de excavación de zapata para muro de block de 6" con un ancho de 0.45m.</t>
  </si>
  <si>
    <t>Suministro y colocación de puerta de tola (1.80x2.50)m</t>
  </si>
  <si>
    <t>Bote de material producto de las demoliciones de aceras</t>
  </si>
  <si>
    <t xml:space="preserve">Reparación de portón frontal en hierro de (5.15x1.17)m, en entrada de nave (Incluye: pintura, enderesar algunas planchuelas, colocar ruedas,olivas y cambiar riel de rodaje y coolocación de la puerta </t>
  </si>
  <si>
    <t>Suministro y colocación de portón de hierro de ( 11.70 x1.70)m, en entrada de rampas rodable      (Incluye: tubos cuadrados de 2" x 2" en el marco y un tubo intermedio, planchuelas de acero de 1" x 3/16" verticales cada 0.10m, Ruedas para rodaje y angular 1.5"x 1.5" x 3/16"para riel de rodaje)</t>
  </si>
  <si>
    <t>Hormigón armado pulido con "helicoptero" en Piso de nave, E= 0.15 m, con doble malla electrosóldada w(2.5x2.5), (10x10)cm, f'c 210 kg/cm²</t>
  </si>
  <si>
    <t>Hormigón armado frotado con "helicoptero" en Piso en rampa, E= 0.15 m, con doble malla electrosóldada w(2.5x2.5), (10x10)cm, f'c 210 kg/cm²</t>
  </si>
  <si>
    <t>Hormigón armado frotado con "helicoptero" en parqueo, E= 0.15 m, con doble malla electrosóldada w(2.5x2.5), (10x10)cm, f'c 210 kg/cm²</t>
  </si>
  <si>
    <t>Excavación en caliche en parqueo</t>
  </si>
  <si>
    <r>
      <t xml:space="preserve">Suministro y colocación Columnas Extremos sección varibleTipo H, desde 6"x8" hasta 6"x18", alma y patín de </t>
    </r>
    <r>
      <rPr>
        <sz val="10"/>
        <color rgb="FFFF0000"/>
        <rFont val="Arial"/>
        <family val="2"/>
      </rPr>
      <t>1/4</t>
    </r>
    <r>
      <rPr>
        <sz val="10"/>
        <rFont val="Arial"/>
        <family val="2"/>
      </rPr>
      <t>"; Acero A-36, Pernos A-325, Soldadura E-6018, Incluye Placa de Apoyo Superior de 18"x6"x1/2", Atiezadores en Apoyo superior e inferior, Pintura Antióxido.</t>
    </r>
  </si>
  <si>
    <r>
      <t xml:space="preserve">Suministro y colocación Vigas Tipo H 6"x18", alma y patín de </t>
    </r>
    <r>
      <rPr>
        <sz val="10"/>
        <color rgb="FFFF0000"/>
        <rFont val="Arial"/>
        <family val="2"/>
      </rPr>
      <t>1/4</t>
    </r>
    <r>
      <rPr>
        <sz val="10"/>
        <rFont val="Arial"/>
        <family val="2"/>
      </rPr>
      <t>"; Acero A-36, Pernos A-325, Soldadura E-6018, Incluye Placa de Apoyo de 18"x6"x1/2" a Columna, Placa de Apoyo de 18"x6"x1/2" a Cartela, Portacorrea de 6"x7"x3/16", Atiezadores en Alma, Pintura Antióxido.</t>
    </r>
  </si>
  <si>
    <r>
      <t xml:space="preserve">Suministro y colocación Cartela sección varibleTipo H, desde 6"x18" hasta 6"x32", alma y patín de </t>
    </r>
    <r>
      <rPr>
        <sz val="10"/>
        <color rgb="FFFF0000"/>
        <rFont val="Arial"/>
        <family val="2"/>
      </rPr>
      <t>1/4</t>
    </r>
    <r>
      <rPr>
        <sz val="10"/>
        <rFont val="Arial"/>
        <family val="2"/>
      </rPr>
      <t>"; Acero A-36, Pernos A-325, Soldadura E-6018, Incluye Placa de Apoyo de 18"x6"x1/2" a Viga, Placa de Apoyo de 20"x6"x1/2" a Columna Central, Portacorrea de 6"x7"x3/16", Atiezadores en Alma, Pintura Antióxido.</t>
    </r>
  </si>
  <si>
    <t xml:space="preserve">Suministro y colocación de lona asfáltica granulada de 4 mm en techo de hormigón armado </t>
  </si>
  <si>
    <t>Suministro y colocación de impermeabilizantes acrílico en techo inclinado</t>
  </si>
  <si>
    <t xml:space="preserve">Suministro y colocación de impermeabilizante acrílico en techo </t>
  </si>
  <si>
    <t>Demolición de acera de hormigón simple, en lateral izquierdo</t>
  </si>
  <si>
    <t>Demolición de acera de hormigón simple,en frente al acceso lateral izquierdo de la nave</t>
  </si>
  <si>
    <t>Demolición de acera de hormigón simple, en entrada de personal lateral izquierdo</t>
  </si>
  <si>
    <t xml:space="preserve">Demolición de losa de hormigón armado en caseta de bomba  </t>
  </si>
  <si>
    <t xml:space="preserve">Demolición de piso de H.A., en cuarto de planta  </t>
  </si>
  <si>
    <t xml:space="preserve">Demolición de losa de hormigón armado </t>
  </si>
  <si>
    <t xml:space="preserve">Demolición de hormigón armado en losa fregadero </t>
  </si>
  <si>
    <t xml:space="preserve">Suministro y colocación de acera para entrada de personal  </t>
  </si>
  <si>
    <t xml:space="preserve">Suministro y colocación de acera para entrada de personal en lateral derecho al lado de rampa </t>
  </si>
  <si>
    <t>Preparado por:</t>
  </si>
  <si>
    <t>Demolición de piso de nave  Esp. 0.15 m</t>
  </si>
  <si>
    <t>Demolición de piso de rampa en borde para empalme Esp. 0.15m</t>
  </si>
  <si>
    <t>Demolición de piso de 0.12m  en anexo lateral derecho</t>
  </si>
  <si>
    <t>Demolición de piso de hormigón simple en vertedero lateral derecho Esp. =0.10m</t>
  </si>
  <si>
    <t>Demolición de piso de hormigón simple al lado del vertedero lateral derecho Esp. =0.10m</t>
  </si>
  <si>
    <t>Demolición de pedestal, 40cm x 40cm x 80cm</t>
  </si>
  <si>
    <t>Demolición de pedestal para ampliación de rampa</t>
  </si>
  <si>
    <t>Demolición de muros de block en huecos de ventanas Esp. 0.15m</t>
  </si>
  <si>
    <t>Demolición de muros de block en interior de nave Esp. 0.15m</t>
  </si>
  <si>
    <t>Demolicion de muros de block en anexo lateral derecho Esp. 0.15m</t>
  </si>
  <si>
    <t>Demolición de muros de block de vertedero  Esp. 0.15 m</t>
  </si>
  <si>
    <t>Demolición de muros de block de rampa existente Esp. 0.15 m</t>
  </si>
  <si>
    <t>Demolición de muros de block en verja frontal en área de rampa  Esp. 0.15m</t>
  </si>
  <si>
    <t>Demolición de columna de 0.25x0.25m de verja</t>
  </si>
  <si>
    <t>Demolición de viga interior en anexo lateral derecho</t>
  </si>
  <si>
    <t>Demolición de losa de techo de 0.12 m en anexo lateral derecho</t>
  </si>
  <si>
    <t>Demolición de zapata de pedestal para ampliación de rampa</t>
  </si>
  <si>
    <t>Desmantelar y trasladar estructura metálica efectada por el incendio tales como: pórticos, correas, aluzinc y cualquier otro componete metálico de estos (desglosar el precio analizado P.A. en los Analisis de Costos)</t>
  </si>
  <si>
    <t>RELACION DE PARTIDAS</t>
  </si>
</sst>
</file>

<file path=xl/styles.xml><?xml version="1.0" encoding="utf-8"?>
<styleSheet xmlns="http://schemas.openxmlformats.org/spreadsheetml/2006/main">
  <numFmts count="6">
    <numFmt numFmtId="44" formatCode="_(&quot;RD$&quot;* #,##0.00_);_(&quot;RD$&quot;* \(#,##0.00\);_(&quot;RD$&quot;* &quot;-&quot;??_);_(@_)"/>
    <numFmt numFmtId="43" formatCode="_(* #,##0.00_);_(* \(#,##0.00\);_(* &quot;-&quot;??_);_(@_)"/>
    <numFmt numFmtId="164" formatCode="_-* #,##0.00\ _€_-;\-* #,##0.00\ _€_-;_-* &quot;-&quot;??\ _€_-;_-@_-"/>
    <numFmt numFmtId="165" formatCode="_-* #,##0.00_-;\-* #,##0.00_-;_-* &quot;-&quot;??_-;_-@_-"/>
    <numFmt numFmtId="166" formatCode="_-&quot;$&quot;* #,##0.00_-;\-&quot;$&quot;* #,##0.00_-;_-&quot;$&quot;* &quot;-&quot;??_-;_-@_-"/>
    <numFmt numFmtId="167" formatCode="0.00_)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Courier"/>
      <family val="3"/>
    </font>
    <font>
      <sz val="10"/>
      <name val="Arial"/>
      <family val="2"/>
    </font>
    <font>
      <b/>
      <sz val="16"/>
      <name val="Helvetica"/>
      <family val="2"/>
    </font>
    <font>
      <b/>
      <sz val="16"/>
      <name val="Antique Olive"/>
      <family val="2"/>
    </font>
    <font>
      <sz val="16"/>
      <name val="Helvetica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sz val="10"/>
      <name val="Courier"/>
      <family val="3"/>
    </font>
    <font>
      <b/>
      <sz val="22"/>
      <name val="Arial"/>
      <family val="2"/>
    </font>
    <font>
      <sz val="22"/>
      <name val="Arial"/>
      <family val="2"/>
    </font>
    <font>
      <sz val="13"/>
      <name val="Arial"/>
      <family val="2"/>
    </font>
    <font>
      <sz val="14"/>
      <name val="Arial"/>
      <family val="2"/>
    </font>
    <font>
      <sz val="12"/>
      <name val="Courier"/>
      <family val="3"/>
    </font>
    <font>
      <b/>
      <sz val="16"/>
      <name val="Arial"/>
      <family val="2"/>
    </font>
    <font>
      <b/>
      <sz val="13"/>
      <name val="Arial"/>
      <family val="2"/>
    </font>
    <font>
      <b/>
      <u/>
      <sz val="10"/>
      <name val="Arial"/>
      <family val="2"/>
    </font>
    <font>
      <sz val="8.5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6"/>
      <name val="Helv"/>
    </font>
    <font>
      <b/>
      <sz val="18"/>
      <color indexed="62"/>
      <name val="Cambria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</font>
    <font>
      <b/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39" fontId="14" fillId="0" borderId="0"/>
    <xf numFmtId="39" fontId="14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25" fillId="8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12" borderId="0" applyNumberFormat="0" applyBorder="0" applyAlignment="0" applyProtection="0"/>
    <xf numFmtId="0" fontId="25" fillId="12" borderId="0" applyNumberFormat="0" applyBorder="0" applyAlignment="0" applyProtection="0"/>
    <xf numFmtId="44" fontId="7" fillId="0" borderId="0" applyFont="0" applyFill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 applyFont="0" applyFill="0" applyBorder="0" applyAlignment="0" applyProtection="0"/>
    <xf numFmtId="167" fontId="27" fillId="0" borderId="0"/>
    <xf numFmtId="0" fontId="28" fillId="0" borderId="0" applyNumberFormat="0" applyFill="0" applyBorder="0" applyAlignment="0" applyProtection="0"/>
    <xf numFmtId="43" fontId="7" fillId="0" borderId="0" applyFont="0" applyFill="0" applyBorder="0" applyAlignment="0" applyProtection="0"/>
  </cellStyleXfs>
  <cellXfs count="338">
    <xf numFmtId="0" fontId="0" fillId="0" borderId="0" xfId="0"/>
    <xf numFmtId="0" fontId="5" fillId="0" borderId="0" xfId="0" applyFont="1" applyAlignment="1" applyProtection="1">
      <alignment horizontal="left"/>
    </xf>
    <xf numFmtId="43" fontId="5" fillId="0" borderId="0" xfId="1" applyFont="1"/>
    <xf numFmtId="0" fontId="5" fillId="0" borderId="0" xfId="0" applyFont="1" applyAlignment="1">
      <alignment horizontal="center"/>
    </xf>
    <xf numFmtId="43" fontId="5" fillId="0" borderId="0" xfId="1" applyFont="1" applyFill="1" applyBorder="1" applyAlignment="1">
      <alignment horizontal="right"/>
    </xf>
    <xf numFmtId="43" fontId="0" fillId="0" borderId="0" xfId="1" applyFont="1"/>
    <xf numFmtId="0" fontId="0" fillId="0" borderId="0" xfId="0" applyAlignment="1">
      <alignment horizontal="center"/>
    </xf>
    <xf numFmtId="0" fontId="7" fillId="0" borderId="0" xfId="4"/>
    <xf numFmtId="165" fontId="7" fillId="0" borderId="0" xfId="5" applyNumberFormat="1" applyFont="1"/>
    <xf numFmtId="165" fontId="7" fillId="0" borderId="2" xfId="5" applyNumberFormat="1" applyBorder="1"/>
    <xf numFmtId="165" fontId="7" fillId="0" borderId="3" xfId="5" applyNumberFormat="1" applyBorder="1"/>
    <xf numFmtId="0" fontId="7" fillId="0" borderId="0" xfId="4" applyFont="1"/>
    <xf numFmtId="0" fontId="5" fillId="0" borderId="0" xfId="4" applyFont="1"/>
    <xf numFmtId="165" fontId="7" fillId="0" borderId="0" xfId="5" applyNumberFormat="1"/>
    <xf numFmtId="0" fontId="7" fillId="0" borderId="0" xfId="4" applyBorder="1" applyAlignment="1">
      <alignment horizontal="center"/>
    </xf>
    <xf numFmtId="0" fontId="7" fillId="0" borderId="2" xfId="4" applyBorder="1" applyAlignment="1">
      <alignment horizontal="center"/>
    </xf>
    <xf numFmtId="0" fontId="7" fillId="0" borderId="0" xfId="4" applyAlignment="1">
      <alignment horizontal="right"/>
    </xf>
    <xf numFmtId="0" fontId="7" fillId="0" borderId="2" xfId="4" applyBorder="1"/>
    <xf numFmtId="0" fontId="7" fillId="0" borderId="2" xfId="4" applyFont="1" applyBorder="1"/>
    <xf numFmtId="0" fontId="7" fillId="0" borderId="3" xfId="4" applyBorder="1"/>
    <xf numFmtId="0" fontId="7" fillId="0" borderId="3" xfId="4" quotePrefix="1" applyFont="1" applyBorder="1"/>
    <xf numFmtId="0" fontId="7" fillId="0" borderId="3" xfId="4" applyFont="1" applyBorder="1"/>
    <xf numFmtId="0" fontId="5" fillId="0" borderId="0" xfId="4" applyFont="1" applyAlignment="1">
      <alignment horizontal="center"/>
    </xf>
    <xf numFmtId="165" fontId="5" fillId="0" borderId="6" xfId="5" applyNumberFormat="1" applyFont="1" applyBorder="1" applyAlignment="1">
      <alignment horizontal="center"/>
    </xf>
    <xf numFmtId="165" fontId="7" fillId="0" borderId="7" xfId="5" applyNumberFormat="1" applyBorder="1"/>
    <xf numFmtId="0" fontId="7" fillId="0" borderId="0" xfId="4" applyAlignment="1">
      <alignment horizontal="center"/>
    </xf>
    <xf numFmtId="49" fontId="7" fillId="0" borderId="2" xfId="4" applyNumberFormat="1" applyFont="1" applyBorder="1" applyAlignment="1">
      <alignment horizontal="center"/>
    </xf>
    <xf numFmtId="165" fontId="7" fillId="0" borderId="2" xfId="5" applyNumberFormat="1" applyFont="1" applyFill="1" applyBorder="1" applyAlignment="1">
      <alignment horizontal="center"/>
    </xf>
    <xf numFmtId="0" fontId="7" fillId="0" borderId="0" xfId="4" applyBorder="1"/>
    <xf numFmtId="165" fontId="7" fillId="0" borderId="0" xfId="5" applyNumberFormat="1" applyBorder="1"/>
    <xf numFmtId="0" fontId="5" fillId="0" borderId="0" xfId="4" applyFont="1" applyAlignment="1">
      <alignment horizontal="right"/>
    </xf>
    <xf numFmtId="165" fontId="5" fillId="2" borderId="6" xfId="5" applyNumberFormat="1" applyFont="1" applyFill="1" applyBorder="1" applyAlignment="1">
      <alignment horizontal="center"/>
    </xf>
    <xf numFmtId="165" fontId="5" fillId="0" borderId="4" xfId="5" applyNumberFormat="1" applyFont="1" applyBorder="1" applyAlignment="1">
      <alignment horizontal="center"/>
    </xf>
    <xf numFmtId="0" fontId="7" fillId="0" borderId="2" xfId="4" applyFont="1" applyBorder="1" applyAlignment="1">
      <alignment horizontal="left"/>
    </xf>
    <xf numFmtId="39" fontId="7" fillId="0" borderId="2" xfId="5" applyNumberFormat="1" applyBorder="1"/>
    <xf numFmtId="0" fontId="13" fillId="0" borderId="0" xfId="6" applyFont="1" applyAlignment="1" applyProtection="1"/>
    <xf numFmtId="43" fontId="4" fillId="0" borderId="0" xfId="0" applyNumberFormat="1" applyFont="1" applyAlignment="1" applyProtection="1">
      <alignment horizontal="left"/>
    </xf>
    <xf numFmtId="39" fontId="14" fillId="0" borderId="0" xfId="7"/>
    <xf numFmtId="39" fontId="6" fillId="0" borderId="0" xfId="7" applyFont="1"/>
    <xf numFmtId="39" fontId="14" fillId="0" borderId="0" xfId="7" applyFont="1"/>
    <xf numFmtId="43" fontId="4" fillId="0" borderId="0" xfId="3" applyFont="1" applyAlignment="1" applyProtection="1">
      <alignment horizontal="left"/>
    </xf>
    <xf numFmtId="0" fontId="4" fillId="3" borderId="9" xfId="0" applyFont="1" applyFill="1" applyBorder="1"/>
    <xf numFmtId="39" fontId="14" fillId="0" borderId="0" xfId="8"/>
    <xf numFmtId="39" fontId="16" fillId="0" borderId="0" xfId="7" applyFont="1"/>
    <xf numFmtId="39" fontId="17" fillId="0" borderId="0" xfId="7" applyFont="1"/>
    <xf numFmtId="39" fontId="19" fillId="0" borderId="0" xfId="7" applyFont="1"/>
    <xf numFmtId="165" fontId="21" fillId="3" borderId="9" xfId="9" applyNumberFormat="1" applyFont="1" applyFill="1" applyBorder="1" applyAlignment="1">
      <alignment horizontal="centerContinuous"/>
    </xf>
    <xf numFmtId="165" fontId="21" fillId="3" borderId="0" xfId="9" applyNumberFormat="1" applyFont="1" applyFill="1" applyBorder="1" applyAlignment="1">
      <alignment horizontal="centerContinuous"/>
    </xf>
    <xf numFmtId="165" fontId="21" fillId="3" borderId="13" xfId="9" applyNumberFormat="1" applyFont="1" applyFill="1" applyBorder="1" applyAlignment="1">
      <alignment horizontal="centerContinuous"/>
    </xf>
    <xf numFmtId="165" fontId="21" fillId="3" borderId="9" xfId="9" applyNumberFormat="1" applyFont="1" applyFill="1" applyBorder="1" applyAlignment="1">
      <alignment horizontal="center"/>
    </xf>
    <xf numFmtId="165" fontId="21" fillId="3" borderId="0" xfId="9" applyNumberFormat="1" applyFont="1" applyFill="1" applyBorder="1" applyAlignment="1">
      <alignment horizontal="center"/>
    </xf>
    <xf numFmtId="165" fontId="21" fillId="3" borderId="13" xfId="9" applyNumberFormat="1" applyFont="1" applyFill="1" applyBorder="1" applyAlignment="1">
      <alignment horizontal="center"/>
    </xf>
    <xf numFmtId="0" fontId="0" fillId="3" borderId="0" xfId="0" applyFill="1" applyBorder="1"/>
    <xf numFmtId="165" fontId="7" fillId="3" borderId="0" xfId="9" applyNumberFormat="1" applyFill="1" applyBorder="1"/>
    <xf numFmtId="165" fontId="7" fillId="3" borderId="13" xfId="9" applyNumberFormat="1" applyFill="1" applyBorder="1"/>
    <xf numFmtId="166" fontId="7" fillId="3" borderId="0" xfId="10" applyNumberFormat="1" applyFont="1" applyFill="1" applyBorder="1"/>
    <xf numFmtId="0" fontId="0" fillId="3" borderId="14" xfId="0" applyFill="1" applyBorder="1"/>
    <xf numFmtId="165" fontId="7" fillId="3" borderId="14" xfId="9" applyNumberFormat="1" applyFill="1" applyBorder="1"/>
    <xf numFmtId="165" fontId="7" fillId="3" borderId="15" xfId="9" applyNumberFormat="1" applyFill="1" applyBorder="1"/>
    <xf numFmtId="0" fontId="5" fillId="3" borderId="16" xfId="0" applyFont="1" applyFill="1" applyBorder="1" applyAlignment="1">
      <alignment horizontal="center"/>
    </xf>
    <xf numFmtId="0" fontId="7" fillId="3" borderId="16" xfId="0" applyFont="1" applyFill="1" applyBorder="1"/>
    <xf numFmtId="165" fontId="5" fillId="3" borderId="16" xfId="9" applyNumberFormat="1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165" fontId="5" fillId="3" borderId="17" xfId="9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0" borderId="10" xfId="0" applyFont="1" applyBorder="1"/>
    <xf numFmtId="165" fontId="7" fillId="0" borderId="11" xfId="9" applyNumberFormat="1" applyBorder="1"/>
    <xf numFmtId="0" fontId="0" fillId="0" borderId="11" xfId="0" applyBorder="1"/>
    <xf numFmtId="165" fontId="7" fillId="0" borderId="12" xfId="9" applyNumberFormat="1" applyBorder="1"/>
    <xf numFmtId="0" fontId="5" fillId="3" borderId="9" xfId="0" applyFont="1" applyFill="1" applyBorder="1" applyAlignment="1">
      <alignment horizontal="center"/>
    </xf>
    <xf numFmtId="165" fontId="7" fillId="0" borderId="0" xfId="9" applyNumberFormat="1" applyBorder="1"/>
    <xf numFmtId="0" fontId="0" fillId="0" borderId="0" xfId="0" applyBorder="1"/>
    <xf numFmtId="165" fontId="7" fillId="0" borderId="13" xfId="9" applyNumberFormat="1" applyBorder="1"/>
    <xf numFmtId="0" fontId="0" fillId="0" borderId="9" xfId="0" applyBorder="1"/>
    <xf numFmtId="0" fontId="0" fillId="3" borderId="9" xfId="0" applyFill="1" applyBorder="1"/>
    <xf numFmtId="0" fontId="5" fillId="0" borderId="9" xfId="0" applyFont="1" applyBorder="1"/>
    <xf numFmtId="165" fontId="5" fillId="0" borderId="0" xfId="9" applyNumberFormat="1" applyFont="1" applyBorder="1"/>
    <xf numFmtId="0" fontId="22" fillId="0" borderId="9" xfId="0" applyFont="1" applyBorder="1" applyAlignment="1">
      <alignment horizontal="center"/>
    </xf>
    <xf numFmtId="14" fontId="0" fillId="0" borderId="0" xfId="0" applyNumberFormat="1" applyBorder="1"/>
    <xf numFmtId="165" fontId="7" fillId="0" borderId="2" xfId="9" applyNumberFormat="1" applyBorder="1"/>
    <xf numFmtId="165" fontId="5" fillId="0" borderId="13" xfId="9" applyNumberFormat="1" applyFont="1" applyBorder="1"/>
    <xf numFmtId="0" fontId="5" fillId="2" borderId="10" xfId="0" applyFont="1" applyFill="1" applyBorder="1"/>
    <xf numFmtId="166" fontId="5" fillId="2" borderId="11" xfId="10" applyNumberFormat="1" applyFont="1" applyFill="1" applyBorder="1"/>
    <xf numFmtId="0" fontId="5" fillId="2" borderId="11" xfId="0" applyFont="1" applyFill="1" applyBorder="1"/>
    <xf numFmtId="0" fontId="0" fillId="2" borderId="11" xfId="0" applyFill="1" applyBorder="1"/>
    <xf numFmtId="166" fontId="5" fillId="2" borderId="12" xfId="10" applyNumberFormat="1" applyFont="1" applyFill="1" applyBorder="1"/>
    <xf numFmtId="0" fontId="0" fillId="3" borderId="10" xfId="0" applyFill="1" applyBorder="1"/>
    <xf numFmtId="0" fontId="0" fillId="0" borderId="10" xfId="0" applyBorder="1"/>
    <xf numFmtId="165" fontId="5" fillId="0" borderId="11" xfId="9" applyNumberFormat="1" applyFont="1" applyBorder="1"/>
    <xf numFmtId="0" fontId="5" fillId="0" borderId="11" xfId="0" applyFont="1" applyBorder="1"/>
    <xf numFmtId="165" fontId="5" fillId="0" borderId="12" xfId="9" applyNumberFormat="1" applyFont="1" applyBorder="1"/>
    <xf numFmtId="0" fontId="5" fillId="0" borderId="0" xfId="0" applyFont="1" applyBorder="1"/>
    <xf numFmtId="165" fontId="7" fillId="0" borderId="14" xfId="9" applyNumberFormat="1" applyFont="1" applyBorder="1"/>
    <xf numFmtId="0" fontId="7" fillId="0" borderId="9" xfId="0" applyFont="1" applyBorder="1"/>
    <xf numFmtId="165" fontId="7" fillId="0" borderId="0" xfId="9" applyNumberFormat="1" applyFont="1" applyBorder="1"/>
    <xf numFmtId="0" fontId="7" fillId="0" borderId="0" xfId="0" applyFont="1" applyBorder="1"/>
    <xf numFmtId="43" fontId="7" fillId="0" borderId="0" xfId="3"/>
    <xf numFmtId="39" fontId="5" fillId="0" borderId="0" xfId="9" applyNumberFormat="1" applyFont="1" applyBorder="1"/>
    <xf numFmtId="0" fontId="23" fillId="0" borderId="9" xfId="0" applyFont="1" applyBorder="1"/>
    <xf numFmtId="39" fontId="7" fillId="0" borderId="14" xfId="9" applyNumberFormat="1" applyFont="1" applyBorder="1"/>
    <xf numFmtId="39" fontId="7" fillId="0" borderId="0" xfId="9" applyNumberFormat="1" applyBorder="1"/>
    <xf numFmtId="39" fontId="7" fillId="0" borderId="0" xfId="9" applyNumberFormat="1" applyFont="1" applyBorder="1"/>
    <xf numFmtId="0" fontId="0" fillId="0" borderId="18" xfId="0" applyBorder="1"/>
    <xf numFmtId="39" fontId="0" fillId="0" borderId="0" xfId="0" applyNumberFormat="1" applyBorder="1"/>
    <xf numFmtId="0" fontId="0" fillId="0" borderId="13" xfId="0" applyBorder="1"/>
    <xf numFmtId="0" fontId="0" fillId="3" borderId="18" xfId="0" applyFill="1" applyBorder="1"/>
    <xf numFmtId="165" fontId="7" fillId="0" borderId="0" xfId="9" applyNumberFormat="1"/>
    <xf numFmtId="165" fontId="5" fillId="0" borderId="0" xfId="9" applyNumberFormat="1" applyFont="1" applyAlignment="1">
      <alignment horizontal="centerContinuous"/>
    </xf>
    <xf numFmtId="0" fontId="1" fillId="0" borderId="0" xfId="11" applyAlignment="1">
      <alignment horizontal="center"/>
    </xf>
    <xf numFmtId="0" fontId="5" fillId="0" borderId="0" xfId="0" applyFont="1" applyAlignment="1"/>
    <xf numFmtId="43" fontId="5" fillId="0" borderId="0" xfId="1" applyFont="1" applyAlignment="1"/>
    <xf numFmtId="165" fontId="7" fillId="0" borderId="2" xfId="5" applyNumberFormat="1" applyFont="1" applyBorder="1"/>
    <xf numFmtId="43" fontId="7" fillId="0" borderId="0" xfId="4" applyNumberFormat="1"/>
    <xf numFmtId="0" fontId="5" fillId="0" borderId="19" xfId="0" applyFont="1" applyBorder="1"/>
    <xf numFmtId="0" fontId="0" fillId="0" borderId="2" xfId="0" applyBorder="1"/>
    <xf numFmtId="39" fontId="5" fillId="0" borderId="2" xfId="9" applyNumberFormat="1" applyFont="1" applyBorder="1"/>
    <xf numFmtId="39" fontId="18" fillId="0" borderId="0" xfId="7" applyFont="1" applyAlignment="1">
      <alignment horizontal="center"/>
    </xf>
    <xf numFmtId="43" fontId="4" fillId="0" borderId="0" xfId="0" applyNumberFormat="1" applyFont="1" applyBorder="1" applyAlignment="1" applyProtection="1">
      <alignment horizontal="left"/>
    </xf>
    <xf numFmtId="43" fontId="4" fillId="0" borderId="0" xfId="3" applyFont="1" applyBorder="1" applyAlignment="1" applyProtection="1">
      <alignment horizontal="left"/>
    </xf>
    <xf numFmtId="0" fontId="4" fillId="3" borderId="0" xfId="0" applyFont="1" applyFill="1" applyBorder="1"/>
    <xf numFmtId="165" fontId="5" fillId="0" borderId="0" xfId="9" applyNumberFormat="1" applyFont="1" applyBorder="1" applyAlignment="1">
      <alignment horizontal="center"/>
    </xf>
    <xf numFmtId="0" fontId="2" fillId="0" borderId="9" xfId="0" applyFont="1" applyBorder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4" applyFont="1" applyAlignment="1">
      <alignment horizontal="center"/>
    </xf>
    <xf numFmtId="0" fontId="5" fillId="0" borderId="0" xfId="0" applyFont="1" applyBorder="1" applyAlignment="1">
      <alignment horizontal="center"/>
    </xf>
    <xf numFmtId="43" fontId="5" fillId="0" borderId="0" xfId="1" applyFont="1" applyBorder="1" applyAlignment="1">
      <alignment horizontal="right"/>
    </xf>
    <xf numFmtId="165" fontId="7" fillId="0" borderId="8" xfId="5" applyNumberFormat="1" applyBorder="1"/>
    <xf numFmtId="43" fontId="2" fillId="0" borderId="9" xfId="0" applyNumberFormat="1" applyFont="1" applyBorder="1" applyAlignment="1">
      <alignment horizontal="left" wrapText="1"/>
    </xf>
    <xf numFmtId="165" fontId="2" fillId="3" borderId="0" xfId="9" applyNumberFormat="1" applyFont="1" applyFill="1" applyBorder="1"/>
    <xf numFmtId="165" fontId="2" fillId="0" borderId="0" xfId="9" applyNumberFormat="1" applyFont="1" applyAlignment="1">
      <alignment horizontal="centerContinuous"/>
    </xf>
    <xf numFmtId="165" fontId="7" fillId="0" borderId="20" xfId="9" applyNumberFormat="1" applyBorder="1"/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43" fontId="5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65" fontId="2" fillId="0" borderId="0" xfId="9" applyNumberFormat="1" applyFont="1" applyBorder="1"/>
    <xf numFmtId="165" fontId="2" fillId="0" borderId="0" xfId="9" applyNumberFormat="1" applyFont="1"/>
    <xf numFmtId="0" fontId="2" fillId="0" borderId="2" xfId="0" applyFont="1" applyBorder="1"/>
    <xf numFmtId="165" fontId="2" fillId="0" borderId="2" xfId="9" applyNumberFormat="1" applyFont="1" applyBorder="1"/>
    <xf numFmtId="165" fontId="2" fillId="0" borderId="2" xfId="9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9" fontId="2" fillId="0" borderId="0" xfId="12" applyFont="1"/>
    <xf numFmtId="14" fontId="7" fillId="0" borderId="2" xfId="4" applyNumberFormat="1" applyFont="1" applyBorder="1" applyAlignment="1">
      <alignment horizontal="center"/>
    </xf>
    <xf numFmtId="9" fontId="7" fillId="0" borderId="5" xfId="4" applyNumberFormat="1" applyBorder="1"/>
    <xf numFmtId="0" fontId="5" fillId="0" borderId="0" xfId="0" applyFont="1" applyAlignment="1">
      <alignment horizontal="center"/>
    </xf>
    <xf numFmtId="39" fontId="2" fillId="0" borderId="0" xfId="9" applyNumberFormat="1" applyFont="1" applyBorder="1"/>
    <xf numFmtId="0" fontId="5" fillId="0" borderId="0" xfId="0" applyFont="1" applyAlignment="1" applyProtection="1"/>
    <xf numFmtId="43" fontId="5" fillId="0" borderId="0" xfId="13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" fontId="2" fillId="0" borderId="0" xfId="1" applyNumberFormat="1" applyFont="1" applyAlignment="1">
      <alignment horizontal="right"/>
    </xf>
    <xf numFmtId="4" fontId="29" fillId="0" borderId="0" xfId="1" applyNumberFormat="1" applyFont="1" applyAlignment="1">
      <alignment horizontal="right"/>
    </xf>
    <xf numFmtId="4" fontId="2" fillId="0" borderId="0" xfId="0" applyNumberFormat="1" applyFont="1" applyAlignment="1" applyProtection="1">
      <alignment horizontal="right"/>
    </xf>
    <xf numFmtId="4" fontId="29" fillId="0" borderId="0" xfId="3" applyNumberFormat="1" applyFont="1" applyAlignment="1">
      <alignment horizontal="right"/>
    </xf>
    <xf numFmtId="0" fontId="5" fillId="17" borderId="1" xfId="11" applyFont="1" applyFill="1" applyBorder="1" applyAlignment="1">
      <alignment horizontal="center"/>
    </xf>
    <xf numFmtId="0" fontId="5" fillId="17" borderId="1" xfId="11" applyFont="1" applyFill="1" applyBorder="1" applyAlignment="1">
      <alignment horizontal="center" wrapText="1"/>
    </xf>
    <xf numFmtId="4" fontId="5" fillId="17" borderId="1" xfId="3" applyNumberFormat="1" applyFont="1" applyFill="1" applyBorder="1" applyAlignment="1">
      <alignment horizontal="center"/>
    </xf>
    <xf numFmtId="43" fontId="5" fillId="17" borderId="1" xfId="3" applyFont="1" applyFill="1" applyBorder="1" applyAlignment="1">
      <alignment horizontal="center"/>
    </xf>
    <xf numFmtId="43" fontId="5" fillId="17" borderId="1" xfId="13" applyFont="1" applyFill="1" applyBorder="1" applyAlignment="1">
      <alignment horizontal="center"/>
    </xf>
    <xf numFmtId="0" fontId="5" fillId="0" borderId="1" xfId="11" applyFont="1" applyFill="1" applyBorder="1" applyAlignment="1">
      <alignment horizontal="center"/>
    </xf>
    <xf numFmtId="0" fontId="5" fillId="0" borderId="1" xfId="11" applyFont="1" applyFill="1" applyBorder="1" applyAlignment="1">
      <alignment horizontal="center" wrapText="1"/>
    </xf>
    <xf numFmtId="4" fontId="5" fillId="0" borderId="1" xfId="3" applyNumberFormat="1" applyFont="1" applyFill="1" applyBorder="1" applyAlignment="1">
      <alignment horizontal="center"/>
    </xf>
    <xf numFmtId="43" fontId="5" fillId="0" borderId="1" xfId="3" applyFont="1" applyFill="1" applyBorder="1" applyAlignment="1">
      <alignment horizontal="center"/>
    </xf>
    <xf numFmtId="43" fontId="5" fillId="0" borderId="1" xfId="13" applyFont="1" applyFill="1" applyBorder="1" applyAlignment="1">
      <alignment horizontal="center"/>
    </xf>
    <xf numFmtId="0" fontId="31" fillId="0" borderId="1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left"/>
    </xf>
    <xf numFmtId="4" fontId="30" fillId="0" borderId="1" xfId="0" applyNumberFormat="1" applyFont="1" applyFill="1" applyBorder="1" applyAlignment="1">
      <alignment horizontal="right"/>
    </xf>
    <xf numFmtId="43" fontId="30" fillId="16" borderId="1" xfId="1" applyNumberFormat="1" applyFont="1" applyFill="1" applyBorder="1" applyAlignment="1">
      <alignment horizontal="right"/>
    </xf>
    <xf numFmtId="43" fontId="30" fillId="18" borderId="0" xfId="1" applyFont="1" applyFill="1" applyBorder="1" applyAlignment="1">
      <alignment horizontal="center" vertical="center"/>
    </xf>
    <xf numFmtId="0" fontId="30" fillId="18" borderId="0" xfId="0" applyFont="1" applyFill="1"/>
    <xf numFmtId="0" fontId="30" fillId="0" borderId="1" xfId="0" applyFont="1" applyFill="1" applyBorder="1" applyAlignment="1">
      <alignment horizontal="center"/>
    </xf>
    <xf numFmtId="43" fontId="31" fillId="0" borderId="1" xfId="0" applyNumberFormat="1" applyFont="1" applyFill="1" applyBorder="1" applyAlignment="1">
      <alignment horizontal="left"/>
    </xf>
    <xf numFmtId="4" fontId="30" fillId="16" borderId="1" xfId="1" applyNumberFormat="1" applyFont="1" applyFill="1" applyBorder="1" applyAlignment="1">
      <alignment horizontal="right"/>
    </xf>
    <xf numFmtId="0" fontId="30" fillId="16" borderId="1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left" wrapText="1"/>
    </xf>
    <xf numFmtId="0" fontId="31" fillId="0" borderId="1" xfId="0" applyFont="1" applyFill="1" applyBorder="1" applyAlignment="1">
      <alignment horizontal="left" wrapText="1"/>
    </xf>
    <xf numFmtId="0" fontId="32" fillId="0" borderId="1" xfId="0" applyFont="1" applyFill="1" applyBorder="1" applyAlignment="1">
      <alignment horizontal="left" wrapText="1"/>
    </xf>
    <xf numFmtId="4" fontId="33" fillId="16" borderId="1" xfId="1" applyNumberFormat="1" applyFont="1" applyFill="1" applyBorder="1" applyAlignment="1">
      <alignment horizontal="right"/>
    </xf>
    <xf numFmtId="43" fontId="33" fillId="16" borderId="1" xfId="1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left" wrapText="1"/>
    </xf>
    <xf numFmtId="0" fontId="32" fillId="0" borderId="1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/>
    </xf>
    <xf numFmtId="0" fontId="32" fillId="0" borderId="1" xfId="0" applyFont="1" applyFill="1" applyBorder="1" applyAlignment="1">
      <alignment horizontal="left"/>
    </xf>
    <xf numFmtId="43" fontId="32" fillId="0" borderId="1" xfId="0" applyNumberFormat="1" applyFont="1" applyFill="1" applyBorder="1" applyAlignment="1">
      <alignment horizontal="left"/>
    </xf>
    <xf numFmtId="4" fontId="33" fillId="0" borderId="1" xfId="0" applyNumberFormat="1" applyFont="1" applyFill="1" applyBorder="1" applyAlignment="1">
      <alignment horizontal="right"/>
    </xf>
    <xf numFmtId="4" fontId="33" fillId="0" borderId="1" xfId="1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left"/>
    </xf>
    <xf numFmtId="43" fontId="33" fillId="18" borderId="0" xfId="1" applyFont="1" applyFill="1" applyBorder="1" applyAlignment="1">
      <alignment horizontal="center" vertical="center"/>
    </xf>
    <xf numFmtId="0" fontId="33" fillId="18" borderId="0" xfId="0" applyFont="1" applyFill="1"/>
    <xf numFmtId="0" fontId="33" fillId="16" borderId="1" xfId="0" applyFont="1" applyFill="1" applyBorder="1" applyAlignment="1">
      <alignment horizontal="center"/>
    </xf>
    <xf numFmtId="0" fontId="32" fillId="16" borderId="1" xfId="0" applyFont="1" applyFill="1" applyBorder="1" applyAlignment="1">
      <alignment horizontal="center"/>
    </xf>
    <xf numFmtId="43" fontId="32" fillId="16" borderId="1" xfId="1" applyNumberFormat="1" applyFont="1" applyFill="1" applyBorder="1" applyAlignment="1">
      <alignment horizontal="right"/>
    </xf>
    <xf numFmtId="0" fontId="32" fillId="20" borderId="21" xfId="0" applyFont="1" applyFill="1" applyBorder="1" applyAlignment="1">
      <alignment horizontal="center"/>
    </xf>
    <xf numFmtId="0" fontId="32" fillId="20" borderId="3" xfId="0" applyFont="1" applyFill="1" applyBorder="1"/>
    <xf numFmtId="4" fontId="33" fillId="20" borderId="3" xfId="1" applyNumberFormat="1" applyFont="1" applyFill="1" applyBorder="1" applyAlignment="1">
      <alignment horizontal="right"/>
    </xf>
    <xf numFmtId="0" fontId="33" fillId="20" borderId="3" xfId="0" applyFont="1" applyFill="1" applyBorder="1" applyAlignment="1">
      <alignment horizontal="center"/>
    </xf>
    <xf numFmtId="43" fontId="33" fillId="20" borderId="3" xfId="1" applyFont="1" applyFill="1" applyBorder="1" applyAlignment="1">
      <alignment horizontal="right"/>
    </xf>
    <xf numFmtId="4" fontId="32" fillId="20" borderId="22" xfId="0" applyNumberFormat="1" applyFont="1" applyFill="1" applyBorder="1" applyAlignment="1">
      <alignment horizontal="right"/>
    </xf>
    <xf numFmtId="43" fontId="32" fillId="4" borderId="1" xfId="1" applyFont="1" applyFill="1" applyBorder="1" applyAlignment="1">
      <alignment horizontal="right"/>
    </xf>
    <xf numFmtId="0" fontId="33" fillId="0" borderId="0" xfId="0" applyFont="1"/>
    <xf numFmtId="0" fontId="33" fillId="0" borderId="8" xfId="0" applyFont="1" applyFill="1" applyBorder="1" applyAlignment="1">
      <alignment horizontal="center" wrapText="1"/>
    </xf>
    <xf numFmtId="0" fontId="32" fillId="0" borderId="8" xfId="0" applyFont="1" applyFill="1" applyBorder="1" applyAlignment="1" applyProtection="1">
      <alignment horizontal="left" wrapText="1"/>
    </xf>
    <xf numFmtId="4" fontId="33" fillId="0" borderId="8" xfId="1" applyNumberFormat="1" applyFont="1" applyFill="1" applyBorder="1" applyAlignment="1">
      <alignment horizontal="right" wrapText="1"/>
    </xf>
    <xf numFmtId="164" fontId="32" fillId="0" borderId="8" xfId="1" applyNumberFormat="1" applyFont="1" applyFill="1" applyBorder="1" applyAlignment="1">
      <alignment horizontal="center" wrapText="1"/>
    </xf>
    <xf numFmtId="43" fontId="32" fillId="0" borderId="8" xfId="1" applyFont="1" applyFill="1" applyBorder="1" applyAlignment="1">
      <alignment horizontal="right" wrapText="1"/>
    </xf>
    <xf numFmtId="0" fontId="33" fillId="0" borderId="0" xfId="0" applyFont="1" applyAlignment="1">
      <alignment wrapText="1"/>
    </xf>
    <xf numFmtId="0" fontId="33" fillId="0" borderId="0" xfId="0" applyFont="1" applyBorder="1" applyAlignment="1">
      <alignment horizontal="center"/>
    </xf>
    <xf numFmtId="0" fontId="33" fillId="0" borderId="0" xfId="0" applyFont="1" applyBorder="1"/>
    <xf numFmtId="10" fontId="33" fillId="0" borderId="0" xfId="0" applyNumberFormat="1" applyFont="1" applyBorder="1" applyAlignment="1">
      <alignment horizontal="right"/>
    </xf>
    <xf numFmtId="43" fontId="33" fillId="0" borderId="0" xfId="1" applyFont="1" applyBorder="1" applyAlignment="1">
      <alignment horizontal="right"/>
    </xf>
    <xf numFmtId="43" fontId="33" fillId="0" borderId="0" xfId="1" applyFont="1" applyBorder="1"/>
    <xf numFmtId="0" fontId="33" fillId="0" borderId="0" xfId="0" applyFont="1" applyFill="1" applyBorder="1"/>
    <xf numFmtId="43" fontId="32" fillId="0" borderId="0" xfId="1" applyFont="1" applyBorder="1" applyAlignment="1">
      <alignment horizontal="right"/>
    </xf>
    <xf numFmtId="43" fontId="32" fillId="0" borderId="0" xfId="1" applyFont="1" applyBorder="1"/>
    <xf numFmtId="0" fontId="32" fillId="0" borderId="0" xfId="0" applyFont="1" applyBorder="1"/>
    <xf numFmtId="4" fontId="34" fillId="0" borderId="0" xfId="0" applyNumberFormat="1" applyFont="1" applyBorder="1" applyAlignment="1">
      <alignment horizontal="right"/>
    </xf>
    <xf numFmtId="0" fontId="33" fillId="0" borderId="0" xfId="0" applyNumberFormat="1" applyFont="1" applyBorder="1" applyAlignment="1">
      <alignment horizontal="center"/>
    </xf>
    <xf numFmtId="0" fontId="32" fillId="0" borderId="0" xfId="0" applyFont="1" applyFill="1" applyBorder="1" applyAlignment="1" applyProtection="1">
      <alignment horizontal="left" wrapText="1"/>
    </xf>
    <xf numFmtId="4" fontId="33" fillId="0" borderId="0" xfId="2" applyNumberFormat="1" applyFont="1" applyFill="1" applyBorder="1" applyAlignment="1" applyProtection="1">
      <alignment horizontal="right"/>
    </xf>
    <xf numFmtId="164" fontId="32" fillId="0" borderId="0" xfId="1" applyNumberFormat="1" applyFont="1" applyFill="1" applyBorder="1" applyAlignment="1">
      <alignment horizontal="center"/>
    </xf>
    <xf numFmtId="43" fontId="32" fillId="0" borderId="0" xfId="1" applyFont="1" applyFill="1" applyBorder="1"/>
    <xf numFmtId="43" fontId="32" fillId="0" borderId="0" xfId="1" applyFont="1" applyFill="1" applyBorder="1" applyAlignment="1">
      <alignment horizontal="right"/>
    </xf>
    <xf numFmtId="0" fontId="32" fillId="20" borderId="3" xfId="0" applyFont="1" applyFill="1" applyBorder="1" applyAlignment="1">
      <alignment horizontal="left"/>
    </xf>
    <xf numFmtId="43" fontId="32" fillId="20" borderId="3" xfId="1" applyFont="1" applyFill="1" applyBorder="1" applyAlignment="1">
      <alignment horizontal="right"/>
    </xf>
    <xf numFmtId="43" fontId="32" fillId="20" borderId="22" xfId="1" applyFont="1" applyFill="1" applyBorder="1" applyAlignment="1">
      <alignment horizontal="right"/>
    </xf>
    <xf numFmtId="4" fontId="32" fillId="20" borderId="1" xfId="0" applyNumberFormat="1" applyFont="1" applyFill="1" applyBorder="1" applyAlignment="1">
      <alignment horizontal="right"/>
    </xf>
    <xf numFmtId="0" fontId="33" fillId="0" borderId="0" xfId="0" applyFont="1" applyBorder="1" applyAlignment="1">
      <alignment wrapText="1"/>
    </xf>
    <xf numFmtId="4" fontId="33" fillId="0" borderId="0" xfId="1" applyNumberFormat="1" applyFont="1" applyBorder="1" applyAlignment="1">
      <alignment horizontal="right"/>
    </xf>
    <xf numFmtId="43" fontId="33" fillId="0" borderId="0" xfId="1" applyFont="1"/>
    <xf numFmtId="4" fontId="33" fillId="0" borderId="0" xfId="1" applyNumberFormat="1" applyFont="1" applyAlignment="1">
      <alignment horizontal="right"/>
    </xf>
    <xf numFmtId="0" fontId="33" fillId="0" borderId="0" xfId="0" applyFont="1" applyAlignment="1">
      <alignment horizontal="center"/>
    </xf>
    <xf numFmtId="0" fontId="35" fillId="0" borderId="0" xfId="0" applyFont="1" applyBorder="1"/>
    <xf numFmtId="0" fontId="35" fillId="0" borderId="0" xfId="0" applyFont="1"/>
    <xf numFmtId="0" fontId="33" fillId="0" borderId="0" xfId="0" applyFont="1" applyFill="1" applyBorder="1" applyAlignment="1">
      <alignment horizontal="center"/>
    </xf>
    <xf numFmtId="4" fontId="32" fillId="0" borderId="0" xfId="0" applyNumberFormat="1" applyFont="1" applyFill="1" applyBorder="1" applyAlignment="1">
      <alignment horizontal="right"/>
    </xf>
    <xf numFmtId="43" fontId="32" fillId="0" borderId="0" xfId="1" applyFont="1"/>
    <xf numFmtId="4" fontId="32" fillId="16" borderId="1" xfId="1" applyNumberFormat="1" applyFont="1" applyFill="1" applyBorder="1" applyAlignment="1">
      <alignment horizontal="right"/>
    </xf>
    <xf numFmtId="0" fontId="32" fillId="18" borderId="0" xfId="0" applyFont="1" applyFill="1"/>
    <xf numFmtId="0" fontId="30" fillId="0" borderId="1" xfId="0" applyFont="1" applyFill="1" applyBorder="1" applyAlignment="1">
      <alignment horizontal="left"/>
    </xf>
    <xf numFmtId="0" fontId="32" fillId="19" borderId="1" xfId="0" applyFont="1" applyFill="1" applyBorder="1" applyAlignment="1">
      <alignment horizontal="center"/>
    </xf>
    <xf numFmtId="0" fontId="32" fillId="19" borderId="1" xfId="0" applyFont="1" applyFill="1" applyBorder="1" applyAlignment="1">
      <alignment horizontal="left"/>
    </xf>
    <xf numFmtId="4" fontId="33" fillId="19" borderId="1" xfId="1" applyNumberFormat="1" applyFont="1" applyFill="1" applyBorder="1" applyAlignment="1">
      <alignment horizontal="right"/>
    </xf>
    <xf numFmtId="43" fontId="33" fillId="19" borderId="1" xfId="1" applyNumberFormat="1" applyFont="1" applyFill="1" applyBorder="1" applyAlignment="1">
      <alignment horizontal="right"/>
    </xf>
    <xf numFmtId="43" fontId="33" fillId="19" borderId="1" xfId="1" applyFont="1" applyFill="1" applyBorder="1" applyAlignment="1">
      <alignment horizontal="center" vertical="top"/>
    </xf>
    <xf numFmtId="0" fontId="33" fillId="19" borderId="0" xfId="0" applyFont="1" applyFill="1"/>
    <xf numFmtId="0" fontId="32" fillId="0" borderId="0" xfId="0" applyFont="1" applyAlignment="1">
      <alignment horizontal="center"/>
    </xf>
    <xf numFmtId="43" fontId="30" fillId="16" borderId="1" xfId="1" applyNumberFormat="1" applyFont="1" applyFill="1" applyBorder="1" applyAlignment="1">
      <alignment horizontal="center"/>
    </xf>
    <xf numFmtId="43" fontId="33" fillId="16" borderId="1" xfId="1" applyNumberFormat="1" applyFont="1" applyFill="1" applyBorder="1" applyAlignment="1">
      <alignment horizontal="center"/>
    </xf>
    <xf numFmtId="43" fontId="32" fillId="16" borderId="1" xfId="1" applyNumberFormat="1" applyFont="1" applyFill="1" applyBorder="1" applyAlignment="1">
      <alignment horizontal="center"/>
    </xf>
    <xf numFmtId="43" fontId="33" fillId="0" borderId="1" xfId="1" applyFont="1" applyFill="1" applyBorder="1" applyAlignment="1">
      <alignment horizontal="center"/>
    </xf>
    <xf numFmtId="43" fontId="32" fillId="0" borderId="1" xfId="1" applyFont="1" applyFill="1" applyBorder="1" applyAlignment="1">
      <alignment horizontal="center"/>
    </xf>
    <xf numFmtId="43" fontId="33" fillId="0" borderId="1" xfId="0" applyNumberFormat="1" applyFont="1" applyFill="1" applyBorder="1" applyAlignment="1">
      <alignment horizontal="left"/>
    </xf>
    <xf numFmtId="43" fontId="32" fillId="18" borderId="0" xfId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/>
    </xf>
    <xf numFmtId="43" fontId="2" fillId="16" borderId="1" xfId="1" applyNumberFormat="1" applyFont="1" applyFill="1" applyBorder="1" applyAlignment="1">
      <alignment horizontal="right"/>
    </xf>
    <xf numFmtId="4" fontId="32" fillId="0" borderId="1" xfId="0" applyNumberFormat="1" applyFont="1" applyFill="1" applyBorder="1" applyAlignment="1">
      <alignment horizontal="right"/>
    </xf>
    <xf numFmtId="0" fontId="30" fillId="18" borderId="0" xfId="0" applyFont="1" applyFill="1" applyAlignment="1">
      <alignment horizontal="center"/>
    </xf>
    <xf numFmtId="0" fontId="33" fillId="18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4" fontId="33" fillId="19" borderId="1" xfId="0" applyNumberFormat="1" applyFont="1" applyFill="1" applyBorder="1" applyAlignment="1">
      <alignment horizontal="right"/>
    </xf>
    <xf numFmtId="43" fontId="33" fillId="19" borderId="1" xfId="1" applyNumberFormat="1" applyFont="1" applyFill="1" applyBorder="1" applyAlignment="1">
      <alignment horizontal="center"/>
    </xf>
    <xf numFmtId="0" fontId="32" fillId="19" borderId="1" xfId="0" applyFont="1" applyFill="1" applyBorder="1" applyAlignment="1">
      <alignment horizontal="left" wrapText="1"/>
    </xf>
    <xf numFmtId="43" fontId="32" fillId="19" borderId="1" xfId="0" applyNumberFormat="1" applyFont="1" applyFill="1" applyBorder="1" applyAlignment="1">
      <alignment horizontal="left"/>
    </xf>
    <xf numFmtId="43" fontId="33" fillId="21" borderId="0" xfId="1" applyFont="1" applyFill="1" applyBorder="1" applyAlignment="1">
      <alignment horizontal="center" vertical="center"/>
    </xf>
    <xf numFmtId="0" fontId="33" fillId="21" borderId="0" xfId="0" applyFont="1" applyFill="1"/>
    <xf numFmtId="43" fontId="33" fillId="0" borderId="1" xfId="1" applyNumberFormat="1" applyFont="1" applyFill="1" applyBorder="1" applyAlignment="1">
      <alignment horizontal="right"/>
    </xf>
    <xf numFmtId="43" fontId="2" fillId="0" borderId="1" xfId="1" applyNumberFormat="1" applyFont="1" applyFill="1" applyBorder="1" applyAlignment="1">
      <alignment horizontal="right"/>
    </xf>
    <xf numFmtId="43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right"/>
    </xf>
    <xf numFmtId="0" fontId="33" fillId="0" borderId="1" xfId="0" applyFont="1" applyFill="1" applyBorder="1"/>
    <xf numFmtId="0" fontId="33" fillId="0" borderId="0" xfId="0" applyFont="1" applyFill="1" applyAlignment="1">
      <alignment horizontal="right"/>
    </xf>
    <xf numFmtId="4" fontId="2" fillId="16" borderId="1" xfId="1" applyNumberFormat="1" applyFont="1" applyFill="1" applyBorder="1" applyAlignment="1">
      <alignment horizontal="right"/>
    </xf>
    <xf numFmtId="43" fontId="2" fillId="16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43" fontId="2" fillId="18" borderId="0" xfId="1" applyFont="1" applyFill="1" applyBorder="1" applyAlignment="1">
      <alignment horizontal="center" vertical="center"/>
    </xf>
    <xf numFmtId="0" fontId="2" fillId="18" borderId="0" xfId="0" applyFont="1" applyFill="1"/>
    <xf numFmtId="43" fontId="5" fillId="0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0" xfId="0" applyFont="1" applyAlignment="1" applyProtection="1">
      <alignment horizontal="right"/>
    </xf>
    <xf numFmtId="0" fontId="5" fillId="0" borderId="0" xfId="11" applyFont="1" applyAlignment="1">
      <alignment horizontal="right" vertical="center" wrapText="1"/>
    </xf>
    <xf numFmtId="0" fontId="32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32" fillId="0" borderId="0" xfId="0" applyFont="1" applyAlignment="1">
      <alignment horizontal="center"/>
    </xf>
    <xf numFmtId="43" fontId="2" fillId="0" borderId="1" xfId="1" applyFont="1" applyFill="1" applyBorder="1" applyAlignment="1">
      <alignment horizontal="center"/>
    </xf>
    <xf numFmtId="43" fontId="33" fillId="0" borderId="1" xfId="1" applyNumberFormat="1" applyFont="1" applyFill="1" applyBorder="1" applyAlignment="1">
      <alignment horizontal="center"/>
    </xf>
    <xf numFmtId="4" fontId="33" fillId="0" borderId="1" xfId="0" applyNumberFormat="1" applyFont="1" applyFill="1" applyBorder="1" applyAlignment="1">
      <alignment horizontal="center"/>
    </xf>
    <xf numFmtId="0" fontId="36" fillId="0" borderId="0" xfId="11" applyFont="1" applyAlignment="1">
      <alignment wrapText="1"/>
    </xf>
    <xf numFmtId="0" fontId="33" fillId="0" borderId="1" xfId="0" applyFont="1" applyFill="1" applyBorder="1" applyAlignment="1">
      <alignment horizontal="left" vertical="center" wrapText="1"/>
    </xf>
    <xf numFmtId="0" fontId="2" fillId="16" borderId="1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vertical="top" wrapText="1"/>
    </xf>
    <xf numFmtId="0" fontId="7" fillId="0" borderId="8" xfId="4" applyFont="1" applyBorder="1" applyAlignment="1">
      <alignment horizontal="center"/>
    </xf>
    <xf numFmtId="0" fontId="7" fillId="0" borderId="8" xfId="4" applyBorder="1" applyAlignment="1">
      <alignment horizontal="center"/>
    </xf>
    <xf numFmtId="0" fontId="7" fillId="0" borderId="0" xfId="4" applyFont="1" applyAlignment="1">
      <alignment horizontal="center"/>
    </xf>
    <xf numFmtId="0" fontId="5" fillId="0" borderId="0" xfId="4" applyFont="1" applyAlignment="1">
      <alignment horizontal="left"/>
    </xf>
    <xf numFmtId="0" fontId="11" fillId="0" borderId="2" xfId="4" applyFont="1" applyBorder="1" applyAlignment="1">
      <alignment horizontal="left"/>
    </xf>
    <xf numFmtId="0" fontId="7" fillId="0" borderId="2" xfId="4" applyBorder="1" applyAlignment="1">
      <alignment horizontal="center"/>
    </xf>
    <xf numFmtId="0" fontId="5" fillId="0" borderId="0" xfId="4" applyFont="1" applyAlignment="1">
      <alignment horizontal="center"/>
    </xf>
    <xf numFmtId="0" fontId="7" fillId="0" borderId="4" xfId="4" applyBorder="1" applyAlignment="1">
      <alignment horizontal="center"/>
    </xf>
    <xf numFmtId="14" fontId="7" fillId="0" borderId="2" xfId="4" applyNumberFormat="1" applyFont="1" applyBorder="1" applyAlignment="1">
      <alignment horizontal="center"/>
    </xf>
    <xf numFmtId="14" fontId="7" fillId="0" borderId="3" xfId="4" applyNumberFormat="1" applyFont="1" applyBorder="1" applyAlignment="1">
      <alignment horizontal="center"/>
    </xf>
    <xf numFmtId="0" fontId="7" fillId="0" borderId="3" xfId="4" applyBorder="1" applyAlignment="1">
      <alignment horizontal="center"/>
    </xf>
    <xf numFmtId="0" fontId="7" fillId="0" borderId="0" xfId="4" applyAlignment="1">
      <alignment horizontal="center"/>
    </xf>
    <xf numFmtId="14" fontId="7" fillId="0" borderId="3" xfId="4" applyNumberFormat="1" applyBorder="1" applyAlignment="1">
      <alignment horizontal="center"/>
    </xf>
    <xf numFmtId="0" fontId="7" fillId="0" borderId="3" xfId="4" quotePrefix="1" applyFont="1" applyBorder="1" applyAlignment="1">
      <alignment horizontal="center"/>
    </xf>
    <xf numFmtId="43" fontId="7" fillId="0" borderId="3" xfId="4" applyNumberFormat="1" applyFont="1" applyBorder="1" applyAlignment="1">
      <alignment horizontal="center"/>
    </xf>
    <xf numFmtId="0" fontId="7" fillId="0" borderId="3" xfId="4" applyFont="1" applyBorder="1" applyAlignment="1">
      <alignment horizontal="center"/>
    </xf>
    <xf numFmtId="0" fontId="7" fillId="0" borderId="3" xfId="4" applyFont="1" applyBorder="1" applyAlignment="1">
      <alignment horizontal="left"/>
    </xf>
    <xf numFmtId="0" fontId="7" fillId="0" borderId="3" xfId="4" applyBorder="1" applyAlignment="1">
      <alignment horizontal="left"/>
    </xf>
    <xf numFmtId="165" fontId="5" fillId="0" borderId="4" xfId="5" applyNumberFormat="1" applyFont="1" applyBorder="1" applyAlignment="1">
      <alignment horizontal="center"/>
    </xf>
    <xf numFmtId="0" fontId="8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43" fontId="7" fillId="0" borderId="2" xfId="4" applyNumberFormat="1" applyFont="1" applyBorder="1" applyAlignment="1">
      <alignment horizontal="center"/>
    </xf>
    <xf numFmtId="0" fontId="7" fillId="0" borderId="2" xfId="4" applyFont="1" applyBorder="1" applyAlignment="1">
      <alignment horizontal="center"/>
    </xf>
    <xf numFmtId="39" fontId="18" fillId="0" borderId="0" xfId="7" applyFont="1" applyAlignment="1">
      <alignment horizontal="center"/>
    </xf>
    <xf numFmtId="39" fontId="14" fillId="0" borderId="0" xfId="7" applyAlignment="1">
      <alignment horizontal="center"/>
    </xf>
    <xf numFmtId="39" fontId="15" fillId="0" borderId="0" xfId="7" applyFont="1" applyAlignment="1">
      <alignment horizontal="center"/>
    </xf>
    <xf numFmtId="39" fontId="17" fillId="0" borderId="0" xfId="7" applyFont="1" applyAlignment="1">
      <alignment horizontal="center"/>
    </xf>
    <xf numFmtId="39" fontId="3" fillId="0" borderId="0" xfId="7" applyFont="1" applyAlignment="1">
      <alignment horizontal="center" vertical="center" wrapText="1"/>
    </xf>
    <xf numFmtId="165" fontId="5" fillId="3" borderId="10" xfId="9" applyNumberFormat="1" applyFont="1" applyFill="1" applyBorder="1" applyAlignment="1">
      <alignment horizontal="center"/>
    </xf>
    <xf numFmtId="165" fontId="5" fillId="3" borderId="12" xfId="9" applyNumberFormat="1" applyFont="1" applyFill="1" applyBorder="1" applyAlignment="1">
      <alignment horizontal="center"/>
    </xf>
    <xf numFmtId="165" fontId="5" fillId="3" borderId="18" xfId="9" applyNumberFormat="1" applyFont="1" applyFill="1" applyBorder="1" applyAlignment="1">
      <alignment horizontal="center"/>
    </xf>
    <xf numFmtId="165" fontId="5" fillId="3" borderId="15" xfId="9" applyNumberFormat="1" applyFont="1" applyFill="1" applyBorder="1" applyAlignment="1">
      <alignment horizontal="center"/>
    </xf>
    <xf numFmtId="165" fontId="20" fillId="3" borderId="10" xfId="9" applyNumberFormat="1" applyFont="1" applyFill="1" applyBorder="1" applyAlignment="1">
      <alignment horizontal="center"/>
    </xf>
    <xf numFmtId="165" fontId="20" fillId="3" borderId="11" xfId="9" applyNumberFormat="1" applyFont="1" applyFill="1" applyBorder="1" applyAlignment="1">
      <alignment horizontal="center"/>
    </xf>
    <xf numFmtId="165" fontId="20" fillId="3" borderId="12" xfId="9" applyNumberFormat="1" applyFont="1" applyFill="1" applyBorder="1" applyAlignment="1">
      <alignment horizontal="center"/>
    </xf>
    <xf numFmtId="4" fontId="33" fillId="0" borderId="0" xfId="1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</xf>
    <xf numFmtId="43" fontId="5" fillId="0" borderId="0" xfId="1" applyFont="1" applyAlignment="1">
      <alignment horizontal="center"/>
    </xf>
    <xf numFmtId="0" fontId="33" fillId="0" borderId="0" xfId="0" applyFont="1" applyAlignment="1">
      <alignment horizontal="center"/>
    </xf>
  </cellXfs>
  <cellStyles count="41">
    <cellStyle name="Accent1 - 20%" xfId="15"/>
    <cellStyle name="Accent1 - 40%" xfId="16"/>
    <cellStyle name="Accent1 - 60%" xfId="17"/>
    <cellStyle name="Accent2 - 20%" xfId="18"/>
    <cellStyle name="Accent2 - 40%" xfId="19"/>
    <cellStyle name="Accent2 - 60%" xfId="20"/>
    <cellStyle name="Accent3 - 20%" xfId="21"/>
    <cellStyle name="Accent3 - 40%" xfId="22"/>
    <cellStyle name="Accent3 - 60%" xfId="23"/>
    <cellStyle name="Accent4 - 20%" xfId="24"/>
    <cellStyle name="Accent4 - 40%" xfId="25"/>
    <cellStyle name="Accent4 - 60%" xfId="26"/>
    <cellStyle name="Accent5 - 20%" xfId="27"/>
    <cellStyle name="Accent5 - 40%" xfId="28"/>
    <cellStyle name="Accent5 - 60%" xfId="29"/>
    <cellStyle name="Accent6 - 20%" xfId="30"/>
    <cellStyle name="Accent6 - 40%" xfId="31"/>
    <cellStyle name="Accent6 - 60%" xfId="32"/>
    <cellStyle name="Comma 2" xfId="3"/>
    <cellStyle name="Comma 3" xfId="13"/>
    <cellStyle name="Currency 2" xfId="33"/>
    <cellStyle name="Emphasis 1" xfId="34"/>
    <cellStyle name="Emphasis 2" xfId="35"/>
    <cellStyle name="Emphasis 3" xfId="36"/>
    <cellStyle name="Euro" xfId="37"/>
    <cellStyle name="Hipervínculo" xfId="6" builtinId="8"/>
    <cellStyle name="Millares" xfId="1" builtinId="3"/>
    <cellStyle name="Millares 2" xfId="40"/>
    <cellStyle name="Millares_FORMATO CONTRALORIA" xfId="5"/>
    <cellStyle name="Millares_RESUMEN DE CUBICACION" xfId="9"/>
    <cellStyle name="Moneda_RESUMEN DE CUBICACION" xfId="10"/>
    <cellStyle name="Normal" xfId="0" builtinId="0"/>
    <cellStyle name="Normal - Style1" xfId="38"/>
    <cellStyle name="Normal 2" xfId="11"/>
    <cellStyle name="Normal_FORMATO CONTRALORIA" xfId="4"/>
    <cellStyle name="Normal_HATO MA E" xfId="8"/>
    <cellStyle name="Normal_HATO MA EJ" xfId="7"/>
    <cellStyle name="Percent 2" xfId="12"/>
    <cellStyle name="Percent 3" xfId="14"/>
    <cellStyle name="Porcentual" xfId="2" builtinId="5"/>
    <cellStyle name="Sheet Title" xfId="3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2019300</xdr:colOff>
      <xdr:row>63</xdr:row>
      <xdr:rowOff>0</xdr:rowOff>
    </xdr:from>
    <xdr:to>
      <xdr:col>4</xdr:col>
      <xdr:colOff>847725</xdr:colOff>
      <xdr:row>63</xdr:row>
      <xdr:rowOff>1588</xdr:rowOff>
    </xdr:to>
    <xdr:cxnSp macro="">
      <xdr:nvCxnSpPr>
        <xdr:cNvPr id="8" name="7 Conector recto"/>
        <xdr:cNvCxnSpPr/>
      </xdr:nvCxnSpPr>
      <xdr:spPr>
        <a:xfrm>
          <a:off x="2686050" y="10458450"/>
          <a:ext cx="3076575" cy="158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2476500</xdr:colOff>
      <xdr:row>439</xdr:row>
      <xdr:rowOff>9525</xdr:rowOff>
    </xdr:from>
    <xdr:to>
      <xdr:col>4</xdr:col>
      <xdr:colOff>571500</xdr:colOff>
      <xdr:row>439</xdr:row>
      <xdr:rowOff>11113</xdr:rowOff>
    </xdr:to>
    <xdr:cxnSp macro="">
      <xdr:nvCxnSpPr>
        <xdr:cNvPr id="3" name="2 Conector recto"/>
        <xdr:cNvCxnSpPr/>
      </xdr:nvCxnSpPr>
      <xdr:spPr>
        <a:xfrm>
          <a:off x="3505200" y="90011250"/>
          <a:ext cx="3429000" cy="158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chard-pc\Mis%20documentos\ZONAS%20FRANCAS\AZUA\Azu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chard-pc\Documents%20and%20Settings\Administrator\Desktop\Presupuesto_Nave_la_Canela_Partidas_No_Contempladas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chard-pc\Mis%20documentos\ZONAS%20FRANCAS\Los%20Alcarrizos\CISTERNA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7\Presupuesto\LA%20VEGA\Cubicaci&#243;n%2001%20%20REPARACION%20GENERAL%20DE%20NAVES,%20PILC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xx"/>
      <sheetName val="AZUA"/>
      <sheetName val="AZUA1"/>
      <sheetName val="JGH"/>
      <sheetName val="Hoja1"/>
      <sheetName val="Nave Julio Garcia"/>
      <sheetName val="AZUA2"/>
      <sheetName val="SPM"/>
      <sheetName val="Nave Santo Perez"/>
      <sheetName val="AZUA3"/>
      <sheetName val="JRPP"/>
      <sheetName val="Nave Jose Polanco"/>
      <sheetName val="AZUA4"/>
      <sheetName val="JM"/>
      <sheetName val="Dispensario-Destacamento"/>
      <sheetName val="Garitas"/>
      <sheetName val="Infotep"/>
      <sheetName val="Admon y Aduanas"/>
      <sheetName val="AZUA5"/>
      <sheetName val="DA"/>
      <sheetName val="Vias de Circulación"/>
      <sheetName val="Drenaje Pluvial"/>
      <sheetName val="Drenaje Sanitario"/>
      <sheetName val="Drenaje Pluvial Mod."/>
      <sheetName val="VIA-Modificado"/>
      <sheetName val="Adicional"/>
      <sheetName val="Parqueo y Verja"/>
      <sheetName val="AGUA-POT"/>
      <sheetName val="AZUA6"/>
      <sheetName val="YG"/>
      <sheetName val="Verja Perimetral Frontal y Arco"/>
      <sheetName val="Verja (Anexa)"/>
      <sheetName val="Iluminación y Arte Gráfica"/>
      <sheetName val="AZUA7"/>
      <sheetName val="CV"/>
      <sheetName val="Inst. Elect. Exterior"/>
      <sheetName val="AZUA8"/>
      <sheetName val="RTR"/>
      <sheetName val="SUB-ESTACION ELECTRICA"/>
      <sheetName val="LAVEGA01"/>
      <sheetName val="AC"/>
      <sheetName val="modif. 22-9-99 calle de entrada"/>
      <sheetName val="Chart1"/>
      <sheetName val="LAVEGA02"/>
      <sheetName val="VCYCC"/>
      <sheetName val="Rem-LV"/>
      <sheetName val="Inst Trif Infotep"/>
      <sheetName val="Cisterna"/>
      <sheetName val="Inst Eect Ext"/>
      <sheetName val="Rep Calles"/>
      <sheetName val="Macro1"/>
      <sheetName val="Ilum-Arco"/>
      <sheetName val="Arco"/>
      <sheetName val="Sheet3"/>
      <sheetName val="Sheet2"/>
      <sheetName val="Sheet1"/>
      <sheetName val="LAVEGA03"/>
      <sheetName val="LAVEGA3"/>
      <sheetName val="RMM"/>
      <sheetName val="Ad-Anexo a Nave Malena"/>
      <sheetName val="Part. Falt. Anexos"/>
      <sheetName val="AC (3)"/>
      <sheetName val="LAVEGA04"/>
      <sheetName val="JR"/>
      <sheetName val="Drenaje"/>
      <sheetName val="Rep. Tuberias"/>
      <sheetName val="AB"/>
      <sheetName val="Alex-2"/>
      <sheetName val="Adic.-Bencosme"/>
      <sheetName val="JCP"/>
      <sheetName val="R&amp;A Nave"/>
      <sheetName val="JAP"/>
      <sheetName val="Aurasp~1"/>
      <sheetName val="JC"/>
      <sheetName val="Verja~1"/>
      <sheetName val="Calle-~1"/>
      <sheetName val="Calle-b~1"/>
      <sheetName val="Paza Buhoneros"/>
      <sheetName val="MCYRJ"/>
      <sheetName val="Polanco"/>
      <sheetName val="MC-AM"/>
      <sheetName val="Nuevas Areas "/>
      <sheetName val="Cisterna-Fiv"/>
      <sheetName val="Five-s"/>
      <sheetName val="Adicional MCyAM"/>
      <sheetName val="TAC"/>
      <sheetName val="Nave-tcp"/>
      <sheetName val="PR-ME"/>
      <sheetName val="Nave-f~1"/>
      <sheetName val="OSYMB"/>
      <sheetName val="Nave-Frank"/>
      <sheetName val="DIF. Julio Garcia"/>
      <sheetName val="DIF. Santo Perez"/>
      <sheetName val="DIF. Jose Polanco"/>
      <sheetName val="Adicional 1"/>
      <sheetName val="Adicional 2"/>
      <sheetName val="Adicional 3"/>
      <sheetName val="DIF.  Perimetral Frontal"/>
      <sheetName val="DIF. Verja (Anexa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ateriales"/>
      <sheetName val="Mano de Obra"/>
      <sheetName val="Analisis"/>
      <sheetName val="Presupuesto"/>
    </sheetNames>
    <sheetDataSet>
      <sheetData sheetId="0"/>
      <sheetData sheetId="1"/>
      <sheetData sheetId="2">
        <row r="460">
          <cell r="F460">
            <v>258.43324199999995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>
        <row r="1">
          <cell r="A1" t="str">
            <v>CONTRATISTA    : ING. HECTOR PEREZ MEDINA</v>
          </cell>
        </row>
        <row r="2">
          <cell r="A2" t="str">
            <v>OBRA                  :CISTERNA DE 100,000 GLS. VALVULAS, HIDRANTES Y TANQUE ELEVADO DE 33,000 GLS.</v>
          </cell>
        </row>
        <row r="3">
          <cell r="A3" t="str">
            <v>EMPRESA            :CORPORACION DE FOMENTO INDUSTRIAL</v>
          </cell>
          <cell r="F3" t="str">
            <v xml:space="preserve"> </v>
          </cell>
          <cell r="G3" t="str">
            <v xml:space="preserve"> </v>
          </cell>
        </row>
        <row r="4">
          <cell r="A4" t="str">
            <v>UBICACION         :ZONA FRANCA INDUSTRIAL LOS ALCARRIZOS</v>
          </cell>
        </row>
        <row r="5">
          <cell r="A5" t="str">
            <v>FECHA                :30 DE NOVIEMBRE DEL 1999</v>
          </cell>
          <cell r="F5" t="str">
            <v xml:space="preserve"> </v>
          </cell>
          <cell r="G5" t="str">
            <v xml:space="preserve"> </v>
          </cell>
        </row>
        <row r="6">
          <cell r="A6" t="str">
            <v>CUBICACION       : No.  10</v>
          </cell>
        </row>
        <row r="7">
          <cell r="A7" t="str">
            <v>No.</v>
          </cell>
          <cell r="B7" t="str">
            <v>PARTIDAS</v>
          </cell>
          <cell r="C7" t="str">
            <v>CANTIDAD</v>
          </cell>
          <cell r="D7" t="str">
            <v>UD.</v>
          </cell>
          <cell r="E7" t="str">
            <v>P.U.</v>
          </cell>
          <cell r="F7" t="str">
            <v>PRESUPUESTO</v>
          </cell>
          <cell r="G7" t="str">
            <v>% EJE.</v>
          </cell>
        </row>
        <row r="8">
          <cell r="C8" t="str">
            <v xml:space="preserve"> </v>
          </cell>
          <cell r="D8" t="str">
            <v xml:space="preserve"> </v>
          </cell>
          <cell r="E8" t="str">
            <v xml:space="preserve"> </v>
          </cell>
          <cell r="F8" t="str">
            <v xml:space="preserve"> </v>
          </cell>
        </row>
        <row r="9">
          <cell r="A9" t="str">
            <v>( A )</v>
          </cell>
          <cell r="B9" t="str">
            <v>CISTERNA:</v>
          </cell>
        </row>
        <row r="11">
          <cell r="A11" t="str">
            <v xml:space="preserve">  1-</v>
          </cell>
          <cell r="B11" t="str">
            <v>MOVIMIENTO DE TIERRA:</v>
          </cell>
          <cell r="G11" t="str">
            <v xml:space="preserve"> </v>
          </cell>
        </row>
        <row r="12">
          <cell r="A12" t="str">
            <v xml:space="preserve">   a)</v>
          </cell>
          <cell r="B12" t="str">
            <v>Excavacion</v>
          </cell>
          <cell r="C12">
            <v>548.25</v>
          </cell>
          <cell r="D12" t="str">
            <v xml:space="preserve"> M3</v>
          </cell>
          <cell r="E12">
            <v>75.599999999999994</v>
          </cell>
          <cell r="F12">
            <v>41447.699999999997</v>
          </cell>
          <cell r="G12">
            <v>0</v>
          </cell>
        </row>
        <row r="13">
          <cell r="A13" t="str">
            <v xml:space="preserve">   b)</v>
          </cell>
          <cell r="B13" t="str">
            <v>Compactacion de suelo</v>
          </cell>
          <cell r="C13">
            <v>168</v>
          </cell>
          <cell r="D13" t="str">
            <v xml:space="preserve"> M2</v>
          </cell>
          <cell r="E13">
            <v>30</v>
          </cell>
          <cell r="F13">
            <v>5040</v>
          </cell>
          <cell r="G13">
            <v>0</v>
          </cell>
        </row>
        <row r="14">
          <cell r="A14" t="str">
            <v xml:space="preserve">   c)</v>
          </cell>
          <cell r="B14" t="str">
            <v>Relleno compactado en exterior de muro</v>
          </cell>
          <cell r="C14">
            <v>48.6</v>
          </cell>
          <cell r="D14" t="str">
            <v xml:space="preserve"> M3</v>
          </cell>
          <cell r="E14">
            <v>137.5</v>
          </cell>
          <cell r="F14">
            <v>6682.5</v>
          </cell>
          <cell r="G14">
            <v>0</v>
          </cell>
        </row>
        <row r="15">
          <cell r="A15" t="str">
            <v xml:space="preserve">   d)</v>
          </cell>
          <cell r="B15" t="str">
            <v>Reposicion de material</v>
          </cell>
          <cell r="C15">
            <v>72.900000000000006</v>
          </cell>
          <cell r="D15" t="str">
            <v xml:space="preserve"> M3</v>
          </cell>
          <cell r="E15">
            <v>26.25</v>
          </cell>
          <cell r="F15">
            <v>1913.6250000000002</v>
          </cell>
          <cell r="G15">
            <v>0</v>
          </cell>
        </row>
        <row r="16">
          <cell r="A16" t="str">
            <v xml:space="preserve">   e)</v>
          </cell>
          <cell r="B16" t="str">
            <v>Bote de material @ 3</v>
          </cell>
          <cell r="C16">
            <v>617.96</v>
          </cell>
          <cell r="D16" t="str">
            <v xml:space="preserve"> M3</v>
          </cell>
          <cell r="E16">
            <v>18</v>
          </cell>
          <cell r="F16">
            <v>11123.28</v>
          </cell>
          <cell r="G16">
            <v>0</v>
          </cell>
        </row>
        <row r="18">
          <cell r="A18" t="str">
            <v xml:space="preserve">  2-</v>
          </cell>
          <cell r="B18" t="str">
            <v>HORMIGON ARMADO EN: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 t="str">
            <v xml:space="preserve"> </v>
          </cell>
          <cell r="G18" t="str">
            <v xml:space="preserve"> </v>
          </cell>
        </row>
        <row r="19">
          <cell r="A19" t="str">
            <v xml:space="preserve">   a)</v>
          </cell>
          <cell r="B19" t="str">
            <v>Losa de fondo</v>
          </cell>
          <cell r="C19">
            <v>33.6</v>
          </cell>
          <cell r="D19" t="str">
            <v xml:space="preserve"> M3</v>
          </cell>
          <cell r="E19">
            <v>1995.97</v>
          </cell>
          <cell r="F19">
            <v>67064.592000000004</v>
          </cell>
          <cell r="G19">
            <v>0</v>
          </cell>
        </row>
        <row r="20">
          <cell r="A20" t="str">
            <v xml:space="preserve">   b)</v>
          </cell>
          <cell r="B20" t="str">
            <v>Zapata de columnas</v>
          </cell>
          <cell r="C20">
            <v>2.94</v>
          </cell>
          <cell r="D20" t="str">
            <v xml:space="preserve"> M3</v>
          </cell>
          <cell r="E20">
            <v>1851.97</v>
          </cell>
          <cell r="F20">
            <v>5444.7918</v>
          </cell>
          <cell r="G20">
            <v>0</v>
          </cell>
        </row>
        <row r="21">
          <cell r="A21" t="str">
            <v xml:space="preserve">   c)</v>
          </cell>
          <cell r="B21" t="str">
            <v>Columnas</v>
          </cell>
          <cell r="C21">
            <v>3.07</v>
          </cell>
          <cell r="D21" t="str">
            <v xml:space="preserve"> M3</v>
          </cell>
          <cell r="E21">
            <v>4151.8999999999996</v>
          </cell>
          <cell r="F21">
            <v>12746.332999999999</v>
          </cell>
          <cell r="G21">
            <v>0</v>
          </cell>
        </row>
        <row r="22">
          <cell r="A22" t="str">
            <v xml:space="preserve">   d)</v>
          </cell>
          <cell r="B22" t="str">
            <v>Viga V1</v>
          </cell>
          <cell r="C22">
            <v>6.16</v>
          </cell>
          <cell r="D22" t="str">
            <v xml:space="preserve"> M3</v>
          </cell>
          <cell r="E22">
            <v>4364.1000000000004</v>
          </cell>
          <cell r="F22">
            <v>26882.856000000003</v>
          </cell>
          <cell r="G22">
            <v>0</v>
          </cell>
        </row>
        <row r="23">
          <cell r="A23" t="str">
            <v xml:space="preserve">   e)</v>
          </cell>
          <cell r="B23" t="str">
            <v>Losa de techo</v>
          </cell>
          <cell r="C23">
            <v>17.63</v>
          </cell>
          <cell r="D23" t="str">
            <v xml:space="preserve"> M3</v>
          </cell>
          <cell r="E23">
            <v>2319.63</v>
          </cell>
          <cell r="F23">
            <v>40895.0769</v>
          </cell>
          <cell r="G23">
            <v>0</v>
          </cell>
        </row>
        <row r="24">
          <cell r="A24" t="str">
            <v xml:space="preserve">   f)</v>
          </cell>
          <cell r="B24" t="str">
            <v>Muros</v>
          </cell>
          <cell r="C24">
            <v>45.75</v>
          </cell>
          <cell r="D24" t="str">
            <v xml:space="preserve"> M3</v>
          </cell>
          <cell r="E24">
            <v>3096.73</v>
          </cell>
          <cell r="F24">
            <v>141675.39749999999</v>
          </cell>
          <cell r="G24">
            <v>0</v>
          </cell>
        </row>
        <row r="26">
          <cell r="A26" t="str">
            <v xml:space="preserve">  3-</v>
          </cell>
          <cell r="B26" t="str">
            <v>TERMINACION DE SUPERFICIE:</v>
          </cell>
        </row>
        <row r="27">
          <cell r="A27" t="str">
            <v xml:space="preserve">   a)</v>
          </cell>
          <cell r="B27" t="str">
            <v>Pañete grueso pulido</v>
          </cell>
          <cell r="C27">
            <v>344</v>
          </cell>
          <cell r="D27" t="str">
            <v xml:space="preserve"> M2</v>
          </cell>
          <cell r="E27">
            <v>70.260000000000005</v>
          </cell>
          <cell r="F27">
            <v>24169.440000000002</v>
          </cell>
          <cell r="G27">
            <v>0</v>
          </cell>
        </row>
        <row r="28">
          <cell r="A28" t="str">
            <v xml:space="preserve">   b)</v>
          </cell>
          <cell r="B28" t="str">
            <v>Careteo</v>
          </cell>
          <cell r="C28">
            <v>344</v>
          </cell>
          <cell r="D28" t="str">
            <v xml:space="preserve"> M2</v>
          </cell>
          <cell r="E28">
            <v>21.12</v>
          </cell>
          <cell r="F28">
            <v>7265.2800000000007</v>
          </cell>
          <cell r="G28">
            <v>0</v>
          </cell>
        </row>
        <row r="30">
          <cell r="A30" t="str">
            <v xml:space="preserve">  4-</v>
          </cell>
          <cell r="B30" t="str">
            <v>VARIOS:</v>
          </cell>
          <cell r="C30" t="str">
            <v xml:space="preserve"> </v>
          </cell>
          <cell r="D30" t="str">
            <v xml:space="preserve"> </v>
          </cell>
          <cell r="E30" t="str">
            <v xml:space="preserve"> </v>
          </cell>
          <cell r="F30" t="str">
            <v xml:space="preserve"> </v>
          </cell>
          <cell r="G30" t="str">
            <v xml:space="preserve"> </v>
          </cell>
        </row>
        <row r="31">
          <cell r="A31" t="str">
            <v xml:space="preserve">   a)</v>
          </cell>
          <cell r="B31" t="str">
            <v>Zabaleta</v>
          </cell>
          <cell r="C31">
            <v>92</v>
          </cell>
          <cell r="D31" t="str">
            <v xml:space="preserve"> ML</v>
          </cell>
          <cell r="E31">
            <v>21.16</v>
          </cell>
          <cell r="F31">
            <v>1946.72</v>
          </cell>
          <cell r="G31">
            <v>0</v>
          </cell>
        </row>
        <row r="32">
          <cell r="A32" t="str">
            <v xml:space="preserve">   b)</v>
          </cell>
          <cell r="B32" t="str">
            <v>Impermeabilizante</v>
          </cell>
          <cell r="C32">
            <v>344</v>
          </cell>
          <cell r="D32" t="str">
            <v xml:space="preserve"> M2</v>
          </cell>
          <cell r="F32">
            <v>0</v>
          </cell>
          <cell r="G32">
            <v>0</v>
          </cell>
        </row>
        <row r="33">
          <cell r="A33" t="str">
            <v xml:space="preserve">   c)</v>
          </cell>
          <cell r="B33" t="str">
            <v>Fino de techo</v>
          </cell>
          <cell r="C33">
            <v>153.75</v>
          </cell>
          <cell r="D33" t="str">
            <v xml:space="preserve"> M2</v>
          </cell>
          <cell r="E33">
            <v>42.46</v>
          </cell>
          <cell r="F33">
            <v>6528.2250000000004</v>
          </cell>
          <cell r="G33">
            <v>0</v>
          </cell>
        </row>
        <row r="34">
          <cell r="A34" t="str">
            <v xml:space="preserve">   d)</v>
          </cell>
          <cell r="B34" t="str">
            <v>Tapa cisterna de aluminio</v>
          </cell>
          <cell r="C34">
            <v>2</v>
          </cell>
          <cell r="D34" t="str">
            <v xml:space="preserve"> UD</v>
          </cell>
          <cell r="E34">
            <v>350</v>
          </cell>
          <cell r="F34">
            <v>700</v>
          </cell>
          <cell r="G34">
            <v>0</v>
          </cell>
        </row>
        <row r="35">
          <cell r="A35" t="str">
            <v xml:space="preserve">   e)</v>
          </cell>
          <cell r="B35" t="str">
            <v>Valvula de paso de 8"</v>
          </cell>
          <cell r="C35">
            <v>1</v>
          </cell>
          <cell r="D35" t="str">
            <v xml:space="preserve"> UD</v>
          </cell>
          <cell r="E35">
            <v>7250</v>
          </cell>
          <cell r="F35">
            <v>7250</v>
          </cell>
          <cell r="G35">
            <v>0</v>
          </cell>
        </row>
        <row r="36">
          <cell r="A36" t="str">
            <v xml:space="preserve">   f)</v>
          </cell>
          <cell r="B36" t="str">
            <v>Tubos y piezas especiales</v>
          </cell>
          <cell r="C36">
            <v>1</v>
          </cell>
          <cell r="D36" t="str">
            <v xml:space="preserve"> PA</v>
          </cell>
          <cell r="E36">
            <v>2000</v>
          </cell>
          <cell r="F36">
            <v>2000</v>
          </cell>
          <cell r="G36">
            <v>0</v>
          </cell>
        </row>
        <row r="37">
          <cell r="A37" t="str">
            <v xml:space="preserve">   g)</v>
          </cell>
          <cell r="B37" t="str">
            <v>Bomba de 7.5 HP (completa)</v>
          </cell>
          <cell r="C37">
            <v>1</v>
          </cell>
          <cell r="D37" t="str">
            <v xml:space="preserve"> UD</v>
          </cell>
          <cell r="E37">
            <v>15000</v>
          </cell>
          <cell r="F37">
            <v>15000</v>
          </cell>
          <cell r="G37">
            <v>0</v>
          </cell>
        </row>
        <row r="38">
          <cell r="A38" t="str">
            <v xml:space="preserve">   h)</v>
          </cell>
          <cell r="B38" t="str">
            <v>Aceras</v>
          </cell>
          <cell r="C38">
            <v>81</v>
          </cell>
          <cell r="D38" t="str">
            <v xml:space="preserve"> M2</v>
          </cell>
          <cell r="E38">
            <v>156.94999999999999</v>
          </cell>
          <cell r="F38">
            <v>12712.949999999999</v>
          </cell>
          <cell r="G38">
            <v>0</v>
          </cell>
        </row>
        <row r="39">
          <cell r="A39" t="str">
            <v xml:space="preserve">   i)</v>
          </cell>
          <cell r="B39" t="str">
            <v>Escalera metalica</v>
          </cell>
          <cell r="C39">
            <v>6</v>
          </cell>
          <cell r="D39" t="str">
            <v xml:space="preserve"> ML</v>
          </cell>
          <cell r="E39">
            <v>484.2</v>
          </cell>
          <cell r="F39">
            <v>2905.2</v>
          </cell>
          <cell r="G39">
            <v>0</v>
          </cell>
        </row>
        <row r="41">
          <cell r="B41" t="str">
            <v>SUB-TOTAL (A)</v>
          </cell>
          <cell r="F41">
            <v>441393.96720000001</v>
          </cell>
        </row>
        <row r="42"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 t="str">
            <v xml:space="preserve"> </v>
          </cell>
          <cell r="G42" t="str">
            <v xml:space="preserve"> </v>
          </cell>
        </row>
        <row r="43">
          <cell r="A43" t="str">
            <v>( B )</v>
          </cell>
          <cell r="B43" t="str">
            <v xml:space="preserve">CASETA PARA BOMBA </v>
          </cell>
        </row>
        <row r="44">
          <cell r="A44" t="str">
            <v xml:space="preserve">   a)</v>
          </cell>
          <cell r="B44" t="str">
            <v>Muro de bloques de 6" con 3/8" @ 0.80</v>
          </cell>
          <cell r="C44">
            <v>7.6</v>
          </cell>
          <cell r="D44" t="str">
            <v xml:space="preserve"> M2</v>
          </cell>
          <cell r="E44">
            <v>227.73</v>
          </cell>
          <cell r="F44">
            <v>1730.7479999999998</v>
          </cell>
          <cell r="G44">
            <v>0</v>
          </cell>
        </row>
        <row r="45">
          <cell r="A45" t="str">
            <v xml:space="preserve">   b)</v>
          </cell>
          <cell r="B45" t="str">
            <v>Losa de techo (h=0.10)</v>
          </cell>
          <cell r="C45">
            <v>0.32</v>
          </cell>
          <cell r="D45" t="str">
            <v xml:space="preserve"> M3</v>
          </cell>
          <cell r="E45">
            <v>2569.96</v>
          </cell>
          <cell r="F45">
            <v>822.38720000000001</v>
          </cell>
          <cell r="G45">
            <v>0</v>
          </cell>
        </row>
        <row r="46">
          <cell r="A46" t="str">
            <v xml:space="preserve">   c)</v>
          </cell>
          <cell r="B46" t="str">
            <v>Pañete</v>
          </cell>
          <cell r="C46">
            <v>20.079999999999998</v>
          </cell>
          <cell r="D46" t="str">
            <v xml:space="preserve"> M2</v>
          </cell>
          <cell r="E46">
            <v>70.260000000000005</v>
          </cell>
          <cell r="F46">
            <v>1410.8208</v>
          </cell>
          <cell r="G46">
            <v>0</v>
          </cell>
        </row>
        <row r="47">
          <cell r="A47" t="str">
            <v xml:space="preserve">   d)</v>
          </cell>
          <cell r="B47" t="str">
            <v>Careteo</v>
          </cell>
          <cell r="C47">
            <v>4.68</v>
          </cell>
          <cell r="D47" t="str">
            <v xml:space="preserve"> ML</v>
          </cell>
          <cell r="E47">
            <v>21.12</v>
          </cell>
          <cell r="F47">
            <v>98.8416</v>
          </cell>
          <cell r="G47">
            <v>0</v>
          </cell>
        </row>
        <row r="48">
          <cell r="A48" t="str">
            <v xml:space="preserve">   e)</v>
          </cell>
          <cell r="B48" t="str">
            <v>Fino de techo</v>
          </cell>
          <cell r="C48">
            <v>20.079999999999998</v>
          </cell>
          <cell r="D48" t="str">
            <v xml:space="preserve"> M2</v>
          </cell>
          <cell r="E48">
            <v>76.319999999999993</v>
          </cell>
          <cell r="F48">
            <v>1532.5055999999997</v>
          </cell>
          <cell r="G48">
            <v>0</v>
          </cell>
        </row>
        <row r="49">
          <cell r="A49" t="str">
            <v xml:space="preserve">   f)</v>
          </cell>
          <cell r="B49" t="str">
            <v>Puerta de hierro</v>
          </cell>
          <cell r="C49">
            <v>2.85</v>
          </cell>
          <cell r="D49" t="str">
            <v xml:space="preserve"> M2</v>
          </cell>
          <cell r="E49">
            <v>500</v>
          </cell>
          <cell r="F49">
            <v>1425</v>
          </cell>
          <cell r="G49">
            <v>0</v>
          </cell>
        </row>
        <row r="50">
          <cell r="A50" t="str">
            <v xml:space="preserve">   g)</v>
          </cell>
          <cell r="B50" t="str">
            <v>Ventana de aluminio</v>
          </cell>
          <cell r="C50">
            <v>1.68</v>
          </cell>
          <cell r="D50" t="str">
            <v xml:space="preserve"> M2</v>
          </cell>
          <cell r="E50">
            <v>752.04</v>
          </cell>
          <cell r="F50">
            <v>1263.4271999999999</v>
          </cell>
          <cell r="G50">
            <v>0</v>
          </cell>
        </row>
        <row r="51">
          <cell r="A51" t="str">
            <v xml:space="preserve">   h)</v>
          </cell>
          <cell r="B51" t="str">
            <v>Piso de hormigon frotado</v>
          </cell>
          <cell r="C51">
            <v>2.27</v>
          </cell>
          <cell r="D51" t="str">
            <v xml:space="preserve"> M2</v>
          </cell>
          <cell r="E51">
            <v>136.87</v>
          </cell>
          <cell r="F51">
            <v>310.69490000000002</v>
          </cell>
          <cell r="G51">
            <v>0</v>
          </cell>
        </row>
        <row r="52">
          <cell r="A52" t="str">
            <v xml:space="preserve">   i)</v>
          </cell>
          <cell r="B52" t="str">
            <v>Pintura acrilica</v>
          </cell>
          <cell r="C52">
            <v>20.079999999999998</v>
          </cell>
          <cell r="D52" t="str">
            <v xml:space="preserve"> M2</v>
          </cell>
          <cell r="E52">
            <v>32.229999999999997</v>
          </cell>
          <cell r="F52">
            <v>647.1783999999999</v>
          </cell>
          <cell r="G52">
            <v>0</v>
          </cell>
        </row>
        <row r="53">
          <cell r="B53" t="str">
            <v>SUB-TOTAL (B)</v>
          </cell>
          <cell r="F53">
            <v>9241.6036999999997</v>
          </cell>
        </row>
        <row r="55">
          <cell r="B55" t="str">
            <v>SUB-TOTAL  ( A+B )</v>
          </cell>
          <cell r="F55">
            <v>450635.57089999999</v>
          </cell>
        </row>
        <row r="57">
          <cell r="B57" t="str">
            <v>TANQUE METALICO ELEVADO A 6 MT. Y 33,000 G.P.M.</v>
          </cell>
        </row>
        <row r="58">
          <cell r="B58" t="str">
            <v>SEGUN COTIZACION DE LA CONSTRUCTORA LOPEZ RODRIGUEZ</v>
          </cell>
        </row>
        <row r="59">
          <cell r="B59" t="str">
            <v>COTIZACION ANEXA</v>
          </cell>
          <cell r="F59">
            <v>569995.52000000002</v>
          </cell>
        </row>
        <row r="61">
          <cell r="B61" t="str">
            <v>*SUB-TOTAL</v>
          </cell>
          <cell r="F61">
            <v>1020631.0909</v>
          </cell>
        </row>
        <row r="63">
          <cell r="B63" t="str">
            <v>GASTOS GENERALES</v>
          </cell>
        </row>
        <row r="64">
          <cell r="B64" t="str">
            <v>Administracion</v>
          </cell>
          <cell r="C64">
            <v>0.03</v>
          </cell>
          <cell r="E64">
            <v>13519.067126999998</v>
          </cell>
        </row>
        <row r="65">
          <cell r="B65" t="str">
            <v>Transporte</v>
          </cell>
          <cell r="C65">
            <v>0.03</v>
          </cell>
          <cell r="E65">
            <v>13519.067126999998</v>
          </cell>
          <cell r="F65" t="str">
            <v xml:space="preserve"> </v>
          </cell>
        </row>
        <row r="66">
          <cell r="B66" t="str">
            <v>Seguros y fianzas</v>
          </cell>
          <cell r="C66">
            <v>0.06</v>
          </cell>
          <cell r="E66">
            <v>27038.134253999997</v>
          </cell>
        </row>
        <row r="67">
          <cell r="A67" t="str">
            <v>*</v>
          </cell>
          <cell r="B67" t="str">
            <v>Direccion Tecnica</v>
          </cell>
          <cell r="C67">
            <v>0.1</v>
          </cell>
          <cell r="E67">
            <v>102063.10909</v>
          </cell>
        </row>
        <row r="68">
          <cell r="A68" t="str">
            <v>*</v>
          </cell>
          <cell r="B68" t="str">
            <v>Supervision</v>
          </cell>
          <cell r="C68">
            <v>0.04</v>
          </cell>
          <cell r="E68">
            <v>40825.243635999999</v>
          </cell>
        </row>
        <row r="69">
          <cell r="B69" t="str">
            <v>SUB-TOTAL GASTOS GENERALES</v>
          </cell>
          <cell r="E69">
            <v>196964.62123399999</v>
          </cell>
        </row>
        <row r="71">
          <cell r="B71" t="str">
            <v>SUB-TOTAL GENERAL</v>
          </cell>
          <cell r="E71">
            <v>1217595.7121339999</v>
          </cell>
        </row>
        <row r="73">
          <cell r="B73" t="str">
            <v>MAS: IMPREVISTOS</v>
          </cell>
          <cell r="C73">
            <v>0.1</v>
          </cell>
          <cell r="E73">
            <v>121759.57121339999</v>
          </cell>
        </row>
        <row r="75">
          <cell r="B75" t="str">
            <v>T O T A L    G E N E R A L</v>
          </cell>
          <cell r="E75">
            <v>1339355.2833473999</v>
          </cell>
        </row>
        <row r="81">
          <cell r="B81" t="str">
            <v>ARQ. PRISCILA CAMILO MORALES</v>
          </cell>
          <cell r="E81" t="str">
            <v xml:space="preserve">          ARQ. LIMBERT SEGURA</v>
          </cell>
        </row>
        <row r="82">
          <cell r="B82" t="str">
            <v>SUPERVISORA</v>
          </cell>
          <cell r="E82" t="str">
            <v xml:space="preserve">        ENCARGADO DEPTO. TECNICO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RESENTACION"/>
      <sheetName val="RATR"/>
      <sheetName val="RESUMEN"/>
      <sheetName val="PRESUPUESTO"/>
    </sheetNames>
    <sheetDataSet>
      <sheetData sheetId="0"/>
      <sheetData sheetId="1"/>
      <sheetData sheetId="2">
        <row r="48">
          <cell r="E48">
            <v>834308.94445759978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fileserver\..\..\..\..\..\L1%20REP.%20CONTRALORIA\DISDO%20ARL.xl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59"/>
  <sheetViews>
    <sheetView topLeftCell="A10" zoomScaleSheetLayoutView="100" workbookViewId="0">
      <selection activeCell="J57" sqref="J57"/>
    </sheetView>
  </sheetViews>
  <sheetFormatPr baseColWidth="10" defaultColWidth="11.42578125" defaultRowHeight="12.75"/>
  <cols>
    <col min="1" max="1" width="8.28515625" style="7" customWidth="1"/>
    <col min="2" max="2" width="12.42578125" style="7" customWidth="1"/>
    <col min="3" max="3" width="10.28515625" style="7" customWidth="1"/>
    <col min="4" max="4" width="6.85546875" style="7" customWidth="1"/>
    <col min="5" max="5" width="7.7109375" style="7" customWidth="1"/>
    <col min="6" max="6" width="4.140625" style="7" customWidth="1"/>
    <col min="7" max="7" width="12" style="7" customWidth="1"/>
    <col min="8" max="8" width="13" style="7" bestFit="1" customWidth="1"/>
    <col min="9" max="9" width="33.85546875" style="7" customWidth="1"/>
    <col min="10" max="10" width="10" style="7" customWidth="1"/>
    <col min="11" max="16384" width="11.42578125" style="7"/>
  </cols>
  <sheetData>
    <row r="2" spans="1:10" ht="20.25">
      <c r="A2" s="316" t="s">
        <v>6</v>
      </c>
      <c r="B2" s="316"/>
      <c r="C2" s="316"/>
      <c r="D2" s="316"/>
      <c r="E2" s="316"/>
      <c r="F2" s="316"/>
      <c r="G2" s="316"/>
      <c r="H2" s="316"/>
      <c r="I2" s="316"/>
      <c r="J2" s="316"/>
    </row>
    <row r="3" spans="1:10" ht="15.75">
      <c r="A3" s="317" t="s">
        <v>0</v>
      </c>
      <c r="B3" s="317"/>
      <c r="C3" s="317"/>
      <c r="D3" s="317"/>
      <c r="E3" s="317"/>
      <c r="F3" s="317"/>
      <c r="G3" s="317"/>
      <c r="H3" s="317"/>
      <c r="I3" s="317"/>
      <c r="J3" s="317"/>
    </row>
    <row r="4" spans="1:10">
      <c r="B4" s="308" t="s">
        <v>7</v>
      </c>
      <c r="C4" s="308"/>
      <c r="D4" s="308"/>
      <c r="E4" s="308"/>
      <c r="F4" s="308"/>
      <c r="G4" s="308"/>
      <c r="H4" s="308"/>
      <c r="I4" s="308"/>
    </row>
    <row r="5" spans="1:10">
      <c r="B5" s="308" t="s">
        <v>8</v>
      </c>
      <c r="C5" s="308"/>
      <c r="D5" s="308"/>
      <c r="E5" s="308"/>
      <c r="F5" s="308"/>
      <c r="G5" s="308"/>
      <c r="H5" s="308"/>
      <c r="I5" s="308"/>
    </row>
    <row r="7" spans="1:10">
      <c r="B7" s="7" t="s">
        <v>71</v>
      </c>
      <c r="D7" s="318" t="e">
        <f>PRESUPUESTO!#REF!</f>
        <v>#REF!</v>
      </c>
      <c r="E7" s="319"/>
      <c r="F7" s="319"/>
      <c r="G7" s="319"/>
      <c r="H7" s="319"/>
      <c r="I7" s="319"/>
    </row>
    <row r="8" spans="1:10">
      <c r="B8" s="7" t="s">
        <v>9</v>
      </c>
      <c r="D8" s="312" t="e">
        <f>PRESUPUESTO!#REF!</f>
        <v>#REF!</v>
      </c>
      <c r="E8" s="312"/>
      <c r="F8" s="312"/>
      <c r="G8" s="312"/>
      <c r="H8" s="312"/>
      <c r="I8" s="312"/>
    </row>
    <row r="9" spans="1:10">
      <c r="B9" s="7" t="s">
        <v>10</v>
      </c>
      <c r="D9" s="311" t="e">
        <f>PRESUPUESTO!#REF!</f>
        <v>#REF!</v>
      </c>
      <c r="E9" s="312"/>
      <c r="F9" s="312"/>
      <c r="G9" s="312"/>
      <c r="H9" s="312"/>
      <c r="I9" s="312"/>
    </row>
    <row r="10" spans="1:10">
      <c r="B10" s="7" t="s">
        <v>11</v>
      </c>
      <c r="D10" s="313" t="s">
        <v>85</v>
      </c>
      <c r="E10" s="313"/>
      <c r="F10" s="313"/>
      <c r="G10" s="313"/>
      <c r="H10" s="8" t="s">
        <v>12</v>
      </c>
      <c r="I10" s="111" t="e">
        <f>+RESUMEN!C31</f>
        <v>#REF!</v>
      </c>
    </row>
    <row r="11" spans="1:10">
      <c r="B11" s="7" t="s">
        <v>11</v>
      </c>
      <c r="D11" s="313"/>
      <c r="E11" s="314"/>
      <c r="F11" s="314"/>
      <c r="G11" s="314"/>
      <c r="H11" s="8" t="s">
        <v>12</v>
      </c>
      <c r="I11" s="10"/>
    </row>
    <row r="12" spans="1:10">
      <c r="B12" s="11" t="s">
        <v>11</v>
      </c>
      <c r="D12" s="307"/>
      <c r="E12" s="307"/>
      <c r="F12" s="307"/>
      <c r="G12" s="307"/>
      <c r="H12" s="8" t="s">
        <v>12</v>
      </c>
      <c r="I12" s="10"/>
    </row>
    <row r="13" spans="1:10">
      <c r="B13" s="11" t="s">
        <v>13</v>
      </c>
      <c r="D13" s="307"/>
      <c r="E13" s="307"/>
      <c r="F13" s="307"/>
      <c r="G13" s="307"/>
      <c r="H13" s="8" t="s">
        <v>12</v>
      </c>
      <c r="I13" s="9"/>
    </row>
    <row r="14" spans="1:10">
      <c r="B14" s="11" t="s">
        <v>14</v>
      </c>
      <c r="H14" s="8" t="s">
        <v>12</v>
      </c>
      <c r="I14" s="9" t="e">
        <f>PRESUPUESTO!#REF!</f>
        <v>#REF!</v>
      </c>
    </row>
    <row r="15" spans="1:10" ht="13.5" thickBot="1">
      <c r="C15" s="12" t="s">
        <v>15</v>
      </c>
      <c r="D15" s="12"/>
      <c r="E15" s="12"/>
      <c r="F15" s="12"/>
      <c r="G15" s="12"/>
      <c r="H15" s="315" t="e">
        <f>SUM(I10:I13)</f>
        <v>#REF!</v>
      </c>
      <c r="I15" s="315"/>
    </row>
    <row r="16" spans="1:10" ht="13.5" thickTop="1">
      <c r="H16" s="13"/>
      <c r="I16" s="13"/>
    </row>
    <row r="17" spans="2:9" ht="13.5" thickBot="1">
      <c r="B17" s="304" t="s">
        <v>16</v>
      </c>
      <c r="C17" s="304"/>
      <c r="D17" s="14"/>
      <c r="H17" s="13"/>
      <c r="I17" s="13"/>
    </row>
    <row r="18" spans="2:9" ht="13.5" thickTop="1">
      <c r="B18" s="11" t="s">
        <v>17</v>
      </c>
      <c r="C18" s="148">
        <v>0.2</v>
      </c>
      <c r="D18" s="7" t="s">
        <v>18</v>
      </c>
      <c r="E18" s="15">
        <v>2834</v>
      </c>
      <c r="F18" s="7" t="s">
        <v>19</v>
      </c>
      <c r="G18" s="147" t="s">
        <v>94</v>
      </c>
      <c r="H18" s="16" t="s">
        <v>20</v>
      </c>
      <c r="I18" s="9" t="e">
        <f>I10*0.2</f>
        <v>#REF!</v>
      </c>
    </row>
    <row r="19" spans="2:9">
      <c r="B19" s="11" t="s">
        <v>21</v>
      </c>
      <c r="C19" s="17"/>
      <c r="D19" s="7" t="s">
        <v>18</v>
      </c>
      <c r="E19" s="17"/>
      <c r="F19" s="7" t="s">
        <v>19</v>
      </c>
      <c r="G19" s="18"/>
      <c r="H19" s="16" t="s">
        <v>20</v>
      </c>
      <c r="I19" s="9"/>
    </row>
    <row r="20" spans="2:9">
      <c r="B20" s="11" t="s">
        <v>22</v>
      </c>
      <c r="C20" s="19"/>
      <c r="D20" s="7" t="s">
        <v>18</v>
      </c>
      <c r="E20" s="19"/>
      <c r="F20" s="7" t="s">
        <v>19</v>
      </c>
      <c r="G20" s="20"/>
      <c r="H20" s="16" t="s">
        <v>20</v>
      </c>
      <c r="I20" s="9"/>
    </row>
    <row r="21" spans="2:9">
      <c r="B21" s="11" t="s">
        <v>23</v>
      </c>
      <c r="C21" s="19"/>
      <c r="D21" s="7" t="s">
        <v>18</v>
      </c>
      <c r="E21" s="19"/>
      <c r="F21" s="7" t="s">
        <v>19</v>
      </c>
      <c r="G21" s="21"/>
      <c r="H21" s="16" t="s">
        <v>20</v>
      </c>
      <c r="I21" s="9"/>
    </row>
    <row r="22" spans="2:9" ht="13.5" thickBot="1">
      <c r="B22" s="303" t="s">
        <v>24</v>
      </c>
      <c r="C22" s="303"/>
      <c r="D22" s="303"/>
      <c r="E22" s="303"/>
      <c r="F22" s="303"/>
      <c r="G22" s="303"/>
      <c r="H22" s="22" t="s">
        <v>25</v>
      </c>
      <c r="I22" s="23" t="e">
        <f>SUM(I18:I21)</f>
        <v>#REF!</v>
      </c>
    </row>
    <row r="23" spans="2:9" ht="13.5" thickTop="1">
      <c r="H23" s="13"/>
      <c r="I23" s="24"/>
    </row>
    <row r="24" spans="2:9">
      <c r="B24" s="11" t="s">
        <v>26</v>
      </c>
      <c r="C24" s="25" t="s">
        <v>27</v>
      </c>
      <c r="D24" s="26" t="s">
        <v>105</v>
      </c>
      <c r="E24" s="16" t="s">
        <v>28</v>
      </c>
      <c r="F24" s="305">
        <v>41758</v>
      </c>
      <c r="G24" s="302"/>
      <c r="H24" s="16" t="s">
        <v>20</v>
      </c>
      <c r="I24" s="27">
        <v>834308.94</v>
      </c>
    </row>
    <row r="25" spans="2:9">
      <c r="B25" s="11" t="s">
        <v>26</v>
      </c>
      <c r="C25" s="25" t="s">
        <v>29</v>
      </c>
      <c r="D25" s="26"/>
      <c r="E25" s="16" t="s">
        <v>28</v>
      </c>
      <c r="F25" s="306"/>
      <c r="G25" s="307"/>
      <c r="H25" s="16" t="s">
        <v>20</v>
      </c>
      <c r="I25" s="9"/>
    </row>
    <row r="26" spans="2:9">
      <c r="B26" s="11" t="s">
        <v>26</v>
      </c>
      <c r="C26" s="25" t="s">
        <v>30</v>
      </c>
      <c r="D26" s="26"/>
      <c r="E26" s="16" t="s">
        <v>28</v>
      </c>
      <c r="F26" s="309"/>
      <c r="G26" s="307"/>
      <c r="H26" s="16" t="s">
        <v>20</v>
      </c>
      <c r="I26" s="9"/>
    </row>
    <row r="27" spans="2:9">
      <c r="B27" s="11" t="s">
        <v>26</v>
      </c>
      <c r="C27" s="25" t="s">
        <v>31</v>
      </c>
      <c r="D27" s="26"/>
      <c r="E27" s="16" t="s">
        <v>28</v>
      </c>
      <c r="F27" s="309"/>
      <c r="G27" s="307"/>
      <c r="H27" s="16" t="s">
        <v>20</v>
      </c>
      <c r="I27" s="9"/>
    </row>
    <row r="28" spans="2:9">
      <c r="B28" s="11" t="s">
        <v>26</v>
      </c>
      <c r="C28" s="25" t="s">
        <v>32</v>
      </c>
      <c r="D28" s="17"/>
      <c r="E28" s="16" t="s">
        <v>28</v>
      </c>
      <c r="F28" s="310"/>
      <c r="G28" s="307"/>
      <c r="H28" s="16" t="s">
        <v>20</v>
      </c>
      <c r="I28" s="9"/>
    </row>
    <row r="29" spans="2:9">
      <c r="B29" s="11" t="s">
        <v>26</v>
      </c>
      <c r="C29" s="25" t="s">
        <v>33</v>
      </c>
      <c r="D29" s="18"/>
      <c r="E29" s="16" t="s">
        <v>28</v>
      </c>
      <c r="F29" s="310"/>
      <c r="G29" s="307"/>
      <c r="H29" s="16" t="s">
        <v>20</v>
      </c>
      <c r="I29" s="9"/>
    </row>
    <row r="30" spans="2:9">
      <c r="B30" s="11" t="s">
        <v>26</v>
      </c>
      <c r="C30" s="25" t="s">
        <v>34</v>
      </c>
      <c r="D30" s="17"/>
      <c r="E30" s="16" t="s">
        <v>28</v>
      </c>
      <c r="F30" s="310"/>
      <c r="G30" s="307"/>
      <c r="H30" s="16" t="s">
        <v>20</v>
      </c>
      <c r="I30" s="9"/>
    </row>
    <row r="31" spans="2:9">
      <c r="B31" s="7" t="s">
        <v>26</v>
      </c>
      <c r="C31" s="25" t="s">
        <v>35</v>
      </c>
      <c r="D31" s="17"/>
      <c r="E31" s="16" t="s">
        <v>28</v>
      </c>
      <c r="F31" s="310"/>
      <c r="G31" s="307"/>
      <c r="H31" s="16" t="s">
        <v>20</v>
      </c>
      <c r="I31" s="9"/>
    </row>
    <row r="32" spans="2:9">
      <c r="B32" s="11" t="s">
        <v>26</v>
      </c>
      <c r="C32" s="25" t="s">
        <v>36</v>
      </c>
      <c r="D32" s="17"/>
      <c r="E32" s="16" t="s">
        <v>28</v>
      </c>
      <c r="F32" s="307"/>
      <c r="G32" s="307"/>
      <c r="H32" s="16" t="s">
        <v>20</v>
      </c>
      <c r="I32" s="9"/>
    </row>
    <row r="33" spans="2:9">
      <c r="B33" s="11" t="s">
        <v>26</v>
      </c>
      <c r="C33" s="25" t="s">
        <v>37</v>
      </c>
      <c r="D33" s="17"/>
      <c r="E33" s="16" t="s">
        <v>28</v>
      </c>
      <c r="F33" s="307"/>
      <c r="G33" s="307"/>
      <c r="H33" s="16" t="s">
        <v>20</v>
      </c>
      <c r="I33" s="9"/>
    </row>
    <row r="34" spans="2:9">
      <c r="C34" s="25"/>
      <c r="D34" s="28"/>
      <c r="E34" s="16"/>
      <c r="F34" s="14"/>
      <c r="G34" s="14"/>
      <c r="H34" s="16"/>
      <c r="I34" s="29"/>
    </row>
    <row r="35" spans="2:9">
      <c r="B35" s="308" t="s">
        <v>38</v>
      </c>
      <c r="C35" s="308"/>
      <c r="D35" s="7" t="s">
        <v>39</v>
      </c>
      <c r="E35" s="17"/>
      <c r="F35" s="308" t="s">
        <v>40</v>
      </c>
      <c r="G35" s="308"/>
      <c r="H35" s="16" t="s">
        <v>20</v>
      </c>
      <c r="I35" s="9"/>
    </row>
    <row r="36" spans="2:9">
      <c r="D36" s="7" t="s">
        <v>39</v>
      </c>
      <c r="E36" s="17"/>
      <c r="F36" s="308" t="s">
        <v>40</v>
      </c>
      <c r="G36" s="308"/>
      <c r="H36" s="16" t="s">
        <v>20</v>
      </c>
      <c r="I36" s="9"/>
    </row>
    <row r="37" spans="2:9">
      <c r="D37" s="7" t="s">
        <v>39</v>
      </c>
      <c r="E37" s="17"/>
      <c r="F37" s="308" t="s">
        <v>40</v>
      </c>
      <c r="G37" s="308"/>
      <c r="H37" s="16" t="s">
        <v>20</v>
      </c>
      <c r="I37" s="9"/>
    </row>
    <row r="38" spans="2:9">
      <c r="D38" s="7" t="s">
        <v>39</v>
      </c>
      <c r="E38" s="17"/>
      <c r="F38" s="308" t="s">
        <v>40</v>
      </c>
      <c r="G38" s="308"/>
      <c r="H38" s="16" t="s">
        <v>20</v>
      </c>
      <c r="I38" s="9"/>
    </row>
    <row r="39" spans="2:9" ht="13.5" thickBot="1">
      <c r="B39" s="300" t="s">
        <v>96</v>
      </c>
      <c r="C39" s="300"/>
      <c r="D39" s="300"/>
      <c r="E39" s="300"/>
      <c r="F39" s="300"/>
      <c r="G39" s="300"/>
      <c r="H39" s="30" t="s">
        <v>25</v>
      </c>
      <c r="I39" s="31" t="e">
        <f>RESUMEN!E48</f>
        <v>#REF!</v>
      </c>
    </row>
    <row r="40" spans="2:9" ht="13.5" thickTop="1">
      <c r="I40" s="28"/>
    </row>
    <row r="41" spans="2:9" ht="13.5" thickBot="1">
      <c r="B41" s="12" t="s">
        <v>72</v>
      </c>
      <c r="C41" s="12"/>
      <c r="D41" s="12"/>
      <c r="E41" s="12"/>
      <c r="F41" s="12"/>
      <c r="G41" s="12"/>
      <c r="H41" s="30" t="s">
        <v>25</v>
      </c>
      <c r="I41" s="32" t="e">
        <f>SUM(I24:I39)+I22</f>
        <v>#REF!</v>
      </c>
    </row>
    <row r="42" spans="2:9" ht="13.5" thickTop="1">
      <c r="B42" s="33" t="s">
        <v>41</v>
      </c>
    </row>
    <row r="43" spans="2:9">
      <c r="B43" s="301"/>
      <c r="C43" s="301"/>
      <c r="D43" s="301"/>
      <c r="E43" s="301"/>
      <c r="F43" s="301"/>
      <c r="G43" s="301"/>
      <c r="H43" s="16" t="s">
        <v>20</v>
      </c>
      <c r="I43" s="34"/>
    </row>
    <row r="44" spans="2:9">
      <c r="B44" s="15"/>
      <c r="C44" s="15"/>
      <c r="D44" s="15"/>
      <c r="E44" s="15"/>
      <c r="F44" s="15"/>
      <c r="G44" s="15"/>
      <c r="H44" s="16" t="s">
        <v>20</v>
      </c>
      <c r="I44" s="9"/>
    </row>
    <row r="45" spans="2:9">
      <c r="B45" s="15"/>
      <c r="C45" s="15"/>
      <c r="D45" s="15"/>
      <c r="E45" s="15"/>
      <c r="F45" s="15"/>
      <c r="G45" s="15"/>
      <c r="H45" s="16" t="s">
        <v>20</v>
      </c>
      <c r="I45" s="9"/>
    </row>
    <row r="46" spans="2:9">
      <c r="B46" s="35" t="s">
        <v>42</v>
      </c>
      <c r="C46" s="302"/>
      <c r="D46" s="302"/>
      <c r="E46" s="302"/>
      <c r="F46" s="302"/>
      <c r="G46" s="302"/>
      <c r="H46" s="302"/>
      <c r="I46" s="302"/>
    </row>
    <row r="49" spans="2:9">
      <c r="B49" s="303" t="s">
        <v>106</v>
      </c>
      <c r="C49" s="303"/>
      <c r="D49" s="303"/>
      <c r="E49" s="303"/>
      <c r="F49" s="303"/>
      <c r="G49" s="303"/>
      <c r="H49" s="16" t="s">
        <v>25</v>
      </c>
      <c r="I49" s="9" t="e">
        <f>RESUMEN!E46</f>
        <v>#REF!</v>
      </c>
    </row>
    <row r="50" spans="2:9">
      <c r="B50" s="303"/>
      <c r="C50" s="303"/>
      <c r="D50" s="303"/>
      <c r="E50" s="303"/>
      <c r="F50" s="303"/>
      <c r="G50" s="303"/>
      <c r="H50" s="16"/>
      <c r="I50" s="129"/>
    </row>
    <row r="51" spans="2:9" ht="8.25" customHeight="1">
      <c r="B51" s="126"/>
      <c r="C51" s="126"/>
      <c r="D51" s="126"/>
      <c r="E51" s="126"/>
      <c r="F51" s="126"/>
      <c r="G51" s="126"/>
      <c r="H51" s="16"/>
      <c r="I51" s="29"/>
    </row>
    <row r="52" spans="2:9">
      <c r="B52" s="303" t="s">
        <v>43</v>
      </c>
      <c r="C52" s="303"/>
      <c r="D52" s="303"/>
      <c r="E52" s="303"/>
      <c r="F52" s="303"/>
      <c r="G52" s="303"/>
      <c r="H52" s="16" t="s">
        <v>25</v>
      </c>
      <c r="I52" s="9" t="e">
        <f>I14</f>
        <v>#REF!</v>
      </c>
    </row>
    <row r="55" spans="2:9">
      <c r="I55" s="112"/>
    </row>
    <row r="56" spans="2:9">
      <c r="B56" s="302"/>
      <c r="C56" s="302"/>
      <c r="D56" s="302"/>
      <c r="E56" s="302"/>
      <c r="H56" s="302"/>
      <c r="I56" s="302"/>
    </row>
    <row r="57" spans="2:9">
      <c r="B57" s="297" t="s">
        <v>44</v>
      </c>
      <c r="C57" s="298"/>
      <c r="D57" s="298"/>
      <c r="E57" s="298"/>
      <c r="H57" s="297" t="s">
        <v>45</v>
      </c>
      <c r="I57" s="298"/>
    </row>
    <row r="58" spans="2:9">
      <c r="B58" s="299"/>
      <c r="C58" s="299"/>
      <c r="D58" s="299"/>
      <c r="E58" s="299"/>
    </row>
    <row r="59" spans="2:9" ht="13.5" customHeight="1"/>
  </sheetData>
  <mergeCells count="40">
    <mergeCell ref="D8:I8"/>
    <mergeCell ref="A2:J2"/>
    <mergeCell ref="A3:J3"/>
    <mergeCell ref="B4:I4"/>
    <mergeCell ref="B5:I5"/>
    <mergeCell ref="D7:I7"/>
    <mergeCell ref="F26:G26"/>
    <mergeCell ref="D9:I9"/>
    <mergeCell ref="D10:G10"/>
    <mergeCell ref="D11:G11"/>
    <mergeCell ref="D12:G12"/>
    <mergeCell ref="D13:G13"/>
    <mergeCell ref="H15:I15"/>
    <mergeCell ref="B17:C17"/>
    <mergeCell ref="B22:G22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B35:C35"/>
    <mergeCell ref="F35:G35"/>
    <mergeCell ref="F36:G36"/>
    <mergeCell ref="F37:G37"/>
    <mergeCell ref="B57:E57"/>
    <mergeCell ref="H57:I57"/>
    <mergeCell ref="B58:E58"/>
    <mergeCell ref="B39:G39"/>
    <mergeCell ref="B43:G43"/>
    <mergeCell ref="C46:I46"/>
    <mergeCell ref="B49:G49"/>
    <mergeCell ref="B52:G52"/>
    <mergeCell ref="B56:E56"/>
    <mergeCell ref="H56:I56"/>
    <mergeCell ref="B50:G50"/>
  </mergeCells>
  <hyperlinks>
    <hyperlink ref="B46" r:id="rId1" location="A1"/>
  </hyperlinks>
  <printOptions horizontalCentered="1"/>
  <pageMargins left="0.52" right="0.38" top="0.63" bottom="0.17" header="0" footer="0"/>
  <pageSetup scale="83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H51"/>
  <sheetViews>
    <sheetView view="pageBreakPreview" zoomScale="60" workbookViewId="0">
      <selection activeCell="H12" sqref="H12"/>
    </sheetView>
  </sheetViews>
  <sheetFormatPr baseColWidth="10" defaultColWidth="12.5703125" defaultRowHeight="12"/>
  <cols>
    <col min="1" max="16384" width="12.5703125" style="37"/>
  </cols>
  <sheetData>
    <row r="2" spans="1:8" ht="15.75">
      <c r="A2" s="117" t="str">
        <f>+RESUMEN!A4</f>
        <v>CONTRATISTA     : CONSTRUCTORA MARRERO DIAZ, SRL</v>
      </c>
      <c r="C2" s="38"/>
      <c r="D2" s="39"/>
    </row>
    <row r="3" spans="1:8" ht="15.75">
      <c r="A3" s="118" t="str">
        <f>+RESUMEN!A6</f>
        <v>UBICACION           : PARQUE INDUSTRIAL LA CANELA</v>
      </c>
    </row>
    <row r="4" spans="1:8" ht="15.75">
      <c r="A4" s="119" t="str">
        <f>+RESUMEN!A8</f>
        <v xml:space="preserve"> FECHA                    : 21 DE MAYO DEL 2014</v>
      </c>
      <c r="B4" s="42"/>
      <c r="C4" s="42"/>
      <c r="D4" s="42"/>
      <c r="E4" s="42"/>
      <c r="F4" s="42"/>
    </row>
    <row r="5" spans="1:8" ht="15.75">
      <c r="A5" s="119" t="str">
        <f>+RESUMEN!A7</f>
        <v xml:space="preserve"> CUBICACION        : No 02</v>
      </c>
      <c r="B5" s="42"/>
      <c r="C5" s="42"/>
      <c r="D5" s="42"/>
      <c r="E5" s="42"/>
      <c r="F5" s="42"/>
    </row>
    <row r="11" spans="1:8" ht="27.75">
      <c r="A11" s="322" t="s">
        <v>46</v>
      </c>
      <c r="B11" s="322"/>
      <c r="C11" s="322"/>
      <c r="D11" s="322"/>
      <c r="E11" s="322"/>
      <c r="F11" s="322"/>
      <c r="G11" s="322"/>
      <c r="H11" s="322"/>
    </row>
    <row r="12" spans="1:8" ht="27">
      <c r="A12" s="43"/>
    </row>
    <row r="13" spans="1:8" ht="27">
      <c r="A13" s="43"/>
    </row>
    <row r="14" spans="1:8" ht="27.75">
      <c r="A14" s="322" t="s">
        <v>47</v>
      </c>
      <c r="B14" s="322"/>
      <c r="C14" s="322"/>
      <c r="D14" s="322"/>
      <c r="E14" s="322"/>
      <c r="F14" s="322"/>
      <c r="G14" s="322"/>
      <c r="H14" s="322"/>
    </row>
    <row r="16" spans="1:8" ht="16.5">
      <c r="A16" s="323"/>
      <c r="B16" s="323"/>
      <c r="C16" s="323"/>
      <c r="D16" s="323"/>
      <c r="E16" s="323"/>
      <c r="F16" s="323"/>
      <c r="G16" s="323"/>
      <c r="H16" s="323"/>
    </row>
    <row r="18" spans="1:8" ht="16.5">
      <c r="A18" s="44"/>
    </row>
    <row r="19" spans="1:8" ht="55.15" customHeight="1">
      <c r="A19" s="324" t="e">
        <f>PRESUPUESTO!#REF!</f>
        <v>#REF!</v>
      </c>
      <c r="B19" s="324"/>
      <c r="C19" s="324"/>
      <c r="D19" s="324"/>
      <c r="E19" s="324"/>
      <c r="F19" s="324"/>
      <c r="G19" s="324"/>
      <c r="H19" s="324"/>
    </row>
    <row r="20" spans="1:8" ht="18">
      <c r="A20" s="320"/>
      <c r="B20" s="320"/>
      <c r="C20" s="320"/>
      <c r="D20" s="320"/>
      <c r="E20" s="320"/>
      <c r="F20" s="320"/>
      <c r="G20" s="320"/>
      <c r="H20" s="320"/>
    </row>
    <row r="21" spans="1:8" ht="16.5">
      <c r="A21" s="44"/>
    </row>
    <row r="22" spans="1:8" ht="18">
      <c r="A22" s="320"/>
      <c r="B22" s="320"/>
      <c r="C22" s="320"/>
      <c r="D22" s="320"/>
      <c r="E22" s="320"/>
      <c r="F22" s="320"/>
      <c r="G22" s="320"/>
      <c r="H22" s="320"/>
    </row>
    <row r="23" spans="1:8" ht="16.5">
      <c r="A23" s="44"/>
    </row>
    <row r="24" spans="1:8" ht="18">
      <c r="A24" s="320"/>
      <c r="B24" s="320"/>
      <c r="C24" s="320"/>
      <c r="D24" s="320"/>
      <c r="E24" s="320"/>
      <c r="F24" s="320"/>
      <c r="G24" s="320"/>
      <c r="H24" s="320"/>
    </row>
    <row r="25" spans="1:8" ht="16.5">
      <c r="A25" s="44"/>
    </row>
    <row r="26" spans="1:8" ht="18">
      <c r="A26" s="320"/>
      <c r="B26" s="320"/>
      <c r="C26" s="320"/>
      <c r="D26" s="320"/>
      <c r="E26" s="320"/>
      <c r="F26" s="320"/>
      <c r="G26" s="320"/>
      <c r="H26" s="320"/>
    </row>
    <row r="27" spans="1:8" ht="16.5">
      <c r="A27" s="44"/>
    </row>
    <row r="28" spans="1:8" ht="18">
      <c r="A28" s="320"/>
      <c r="B28" s="320"/>
      <c r="C28" s="320"/>
      <c r="D28" s="320"/>
      <c r="E28" s="320"/>
      <c r="F28" s="320"/>
      <c r="G28" s="320"/>
      <c r="H28" s="320"/>
    </row>
    <row r="29" spans="1:8" ht="16.5">
      <c r="A29" s="44"/>
    </row>
    <row r="30" spans="1:8" ht="18">
      <c r="A30" s="320"/>
      <c r="B30" s="320"/>
      <c r="C30" s="320"/>
      <c r="D30" s="320"/>
      <c r="E30" s="320"/>
      <c r="F30" s="320"/>
      <c r="G30" s="320"/>
      <c r="H30" s="320"/>
    </row>
    <row r="31" spans="1:8" ht="15">
      <c r="A31" s="45"/>
    </row>
    <row r="32" spans="1:8" ht="18">
      <c r="A32" s="320"/>
      <c r="B32" s="320"/>
      <c r="C32" s="320"/>
      <c r="D32" s="320"/>
      <c r="E32" s="320"/>
      <c r="F32" s="320"/>
      <c r="G32" s="320"/>
      <c r="H32" s="320"/>
    </row>
    <row r="33" spans="1:8" ht="15">
      <c r="A33" s="45"/>
    </row>
    <row r="34" spans="1:8" ht="18">
      <c r="A34" s="320"/>
      <c r="B34" s="320"/>
      <c r="C34" s="320"/>
      <c r="D34" s="320"/>
      <c r="E34" s="320"/>
      <c r="F34" s="320"/>
      <c r="G34" s="320"/>
      <c r="H34" s="320"/>
    </row>
    <row r="36" spans="1:8" ht="18">
      <c r="A36" s="320"/>
      <c r="B36" s="320"/>
      <c r="C36" s="320"/>
      <c r="D36" s="320"/>
      <c r="E36" s="320"/>
      <c r="F36" s="320"/>
      <c r="G36" s="320"/>
      <c r="H36" s="320"/>
    </row>
    <row r="38" spans="1:8" ht="18">
      <c r="A38" s="320"/>
      <c r="B38" s="320"/>
      <c r="C38" s="320"/>
      <c r="D38" s="320"/>
      <c r="E38" s="320"/>
      <c r="F38" s="320"/>
      <c r="G38" s="320"/>
      <c r="H38" s="320"/>
    </row>
    <row r="40" spans="1:8" ht="18">
      <c r="A40" s="320"/>
      <c r="B40" s="320"/>
      <c r="C40" s="320"/>
      <c r="D40" s="320"/>
      <c r="E40" s="320"/>
      <c r="F40" s="320"/>
      <c r="G40" s="320"/>
      <c r="H40" s="320"/>
    </row>
    <row r="42" spans="1:8" ht="18">
      <c r="A42" s="320"/>
      <c r="B42" s="320"/>
      <c r="C42" s="320"/>
      <c r="D42" s="320"/>
      <c r="E42" s="320"/>
      <c r="F42" s="320"/>
      <c r="G42" s="320"/>
      <c r="H42" s="320"/>
    </row>
    <row r="44" spans="1:8" ht="18" customHeight="1">
      <c r="A44" s="320"/>
      <c r="B44" s="321"/>
      <c r="C44" s="321"/>
      <c r="D44" s="321"/>
      <c r="E44" s="321"/>
      <c r="F44" s="321"/>
      <c r="G44" s="321"/>
      <c r="H44" s="321"/>
    </row>
    <row r="46" spans="1:8" ht="18">
      <c r="A46" s="320"/>
      <c r="B46" s="320"/>
      <c r="C46" s="320"/>
      <c r="D46" s="320"/>
      <c r="E46" s="320"/>
      <c r="F46" s="320"/>
      <c r="G46" s="320"/>
      <c r="H46" s="320"/>
    </row>
    <row r="48" spans="1:8" ht="18">
      <c r="A48" s="320"/>
      <c r="B48" s="320"/>
      <c r="C48" s="320"/>
      <c r="D48" s="320"/>
      <c r="E48" s="320"/>
      <c r="F48" s="320"/>
      <c r="G48" s="320"/>
      <c r="H48" s="320"/>
    </row>
    <row r="49" spans="1:8" ht="18">
      <c r="A49" s="116"/>
      <c r="B49" s="116"/>
      <c r="C49" s="116"/>
      <c r="D49" s="116"/>
      <c r="E49" s="116"/>
      <c r="F49" s="116"/>
      <c r="G49" s="116"/>
      <c r="H49" s="116"/>
    </row>
    <row r="51" spans="1:8" ht="18">
      <c r="A51" s="320"/>
      <c r="B51" s="320"/>
      <c r="C51" s="320"/>
      <c r="D51" s="320"/>
      <c r="E51" s="320"/>
      <c r="F51" s="320"/>
      <c r="G51" s="320"/>
      <c r="H51" s="320"/>
    </row>
  </sheetData>
  <mergeCells count="20">
    <mergeCell ref="A32:H32"/>
    <mergeCell ref="A11:H11"/>
    <mergeCell ref="A14:H14"/>
    <mergeCell ref="A16:H16"/>
    <mergeCell ref="A19:H19"/>
    <mergeCell ref="A20:H20"/>
    <mergeCell ref="A22:H22"/>
    <mergeCell ref="A24:H24"/>
    <mergeCell ref="A26:H26"/>
    <mergeCell ref="A28:H28"/>
    <mergeCell ref="A30:H30"/>
    <mergeCell ref="A46:H46"/>
    <mergeCell ref="A48:H48"/>
    <mergeCell ref="A51:H51"/>
    <mergeCell ref="A34:H34"/>
    <mergeCell ref="A36:H36"/>
    <mergeCell ref="A38:H38"/>
    <mergeCell ref="A40:H40"/>
    <mergeCell ref="A42:H42"/>
    <mergeCell ref="A44:H44"/>
  </mergeCells>
  <pageMargins left="0.66" right="0.25" top="0.28000000000000003" bottom="0.54" header="0.22" footer="0.46"/>
  <pageSetup scale="8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8"/>
  <sheetViews>
    <sheetView view="pageBreakPreview" workbookViewId="0">
      <selection activeCell="B41" sqref="B41"/>
    </sheetView>
  </sheetViews>
  <sheetFormatPr baseColWidth="10" defaultColWidth="11.5703125" defaultRowHeight="12.75"/>
  <cols>
    <col min="1" max="1" width="10" customWidth="1"/>
    <col min="2" max="2" width="43" customWidth="1"/>
    <col min="3" max="3" width="18" style="106" customWidth="1"/>
    <col min="4" max="4" width="2.7109375" customWidth="1"/>
    <col min="5" max="5" width="17.28515625" style="106" customWidth="1"/>
    <col min="6" max="6" width="2" customWidth="1"/>
    <col min="7" max="7" width="21.42578125" style="106" customWidth="1"/>
    <col min="9" max="10" width="12.85546875" bestFit="1" customWidth="1"/>
  </cols>
  <sheetData>
    <row r="1" spans="1:7" ht="20.25">
      <c r="A1" s="329" t="s">
        <v>102</v>
      </c>
      <c r="B1" s="330"/>
      <c r="C1" s="330"/>
      <c r="D1" s="330"/>
      <c r="E1" s="330"/>
      <c r="F1" s="330"/>
      <c r="G1" s="331"/>
    </row>
    <row r="2" spans="1:7" ht="16.5">
      <c r="A2" s="46" t="s">
        <v>48</v>
      </c>
      <c r="B2" s="47"/>
      <c r="C2" s="47"/>
      <c r="D2" s="47"/>
      <c r="E2" s="47"/>
      <c r="F2" s="47"/>
      <c r="G2" s="48"/>
    </row>
    <row r="3" spans="1:7" ht="16.5" hidden="1">
      <c r="A3" s="49"/>
      <c r="B3" s="50"/>
      <c r="C3" s="50"/>
      <c r="D3" s="50"/>
      <c r="E3" s="50"/>
      <c r="F3" s="50"/>
      <c r="G3" s="51"/>
    </row>
    <row r="4" spans="1:7" ht="15.75">
      <c r="A4" s="36" t="s">
        <v>90</v>
      </c>
      <c r="B4" s="52"/>
      <c r="C4" s="53"/>
      <c r="D4" s="52"/>
      <c r="E4" s="53"/>
      <c r="F4" s="52"/>
      <c r="G4" s="54"/>
    </row>
    <row r="5" spans="1:7" ht="15.75">
      <c r="A5" s="40" t="s">
        <v>91</v>
      </c>
      <c r="B5" s="52"/>
      <c r="C5" s="53"/>
      <c r="D5" s="52"/>
      <c r="E5" s="53"/>
      <c r="F5" s="52"/>
      <c r="G5" s="54"/>
    </row>
    <row r="6" spans="1:7" ht="15.75">
      <c r="A6" s="40" t="s">
        <v>92</v>
      </c>
      <c r="B6" s="52"/>
      <c r="C6" s="53"/>
      <c r="D6" s="52"/>
      <c r="E6" s="53"/>
      <c r="F6" s="52"/>
      <c r="G6" s="54"/>
    </row>
    <row r="7" spans="1:7" ht="15.75">
      <c r="A7" s="41" t="s">
        <v>95</v>
      </c>
      <c r="B7" s="52"/>
      <c r="C7" s="131" t="s">
        <v>75</v>
      </c>
      <c r="D7" s="52"/>
      <c r="E7" s="55"/>
      <c r="F7" s="52"/>
      <c r="G7" s="54"/>
    </row>
    <row r="8" spans="1:7" ht="16.5" thickBot="1">
      <c r="A8" s="41" t="s">
        <v>101</v>
      </c>
      <c r="B8" s="56"/>
      <c r="C8" s="57"/>
      <c r="D8" s="56"/>
      <c r="E8" s="57"/>
      <c r="F8" s="56"/>
      <c r="G8" s="58"/>
    </row>
    <row r="9" spans="1:7">
      <c r="A9" s="59" t="s">
        <v>49</v>
      </c>
      <c r="B9" s="60"/>
      <c r="C9" s="61" t="s">
        <v>50</v>
      </c>
      <c r="D9" s="325" t="s">
        <v>50</v>
      </c>
      <c r="E9" s="326"/>
      <c r="F9" s="325" t="s">
        <v>51</v>
      </c>
      <c r="G9" s="326"/>
    </row>
    <row r="10" spans="1:7" ht="13.5" thickBot="1">
      <c r="A10" s="62" t="s">
        <v>52</v>
      </c>
      <c r="B10" s="62" t="s">
        <v>1</v>
      </c>
      <c r="C10" s="63" t="s">
        <v>53</v>
      </c>
      <c r="D10" s="327" t="s">
        <v>54</v>
      </c>
      <c r="E10" s="328"/>
      <c r="F10" s="327"/>
      <c r="G10" s="328"/>
    </row>
    <row r="11" spans="1:7">
      <c r="A11" s="64"/>
      <c r="B11" s="65" t="s">
        <v>74</v>
      </c>
      <c r="C11" s="66"/>
      <c r="D11" s="67"/>
      <c r="E11" s="66"/>
      <c r="F11" s="67"/>
      <c r="G11" s="68"/>
    </row>
    <row r="12" spans="1:7">
      <c r="A12" s="69"/>
      <c r="B12" s="130" t="e">
        <f>PRESUPUESTO!#REF!</f>
        <v>#REF!</v>
      </c>
      <c r="C12" s="70">
        <f>+PRESUPUESTO!G422</f>
        <v>0</v>
      </c>
      <c r="D12" s="71"/>
      <c r="E12" s="70" t="e">
        <f>+PRESUPUESTO!#REF!</f>
        <v>#REF!</v>
      </c>
      <c r="F12" s="71"/>
      <c r="G12" s="72" t="e">
        <f>PRESUPUESTO!#REF!</f>
        <v>#REF!</v>
      </c>
    </row>
    <row r="13" spans="1:7">
      <c r="A13" s="69"/>
      <c r="B13" s="73"/>
      <c r="C13" s="70"/>
      <c r="D13" s="71"/>
      <c r="E13" s="70"/>
      <c r="F13" s="71"/>
      <c r="G13" s="70"/>
    </row>
    <row r="14" spans="1:7">
      <c r="A14" s="74"/>
      <c r="B14" s="75" t="s">
        <v>55</v>
      </c>
      <c r="C14" s="76">
        <f>SUM(C12:C13)</f>
        <v>0</v>
      </c>
      <c r="D14" s="71"/>
      <c r="E14" s="76" t="e">
        <f>SUM(E12:E13)</f>
        <v>#REF!</v>
      </c>
      <c r="F14" s="71"/>
      <c r="G14" s="76" t="e">
        <f>SUM(G12:G13)</f>
        <v>#REF!</v>
      </c>
    </row>
    <row r="15" spans="1:7">
      <c r="A15" s="74"/>
      <c r="B15" s="73"/>
      <c r="C15" s="70"/>
      <c r="D15" s="71"/>
      <c r="E15" s="70"/>
      <c r="F15" s="71"/>
      <c r="G15" s="72"/>
    </row>
    <row r="16" spans="1:7">
      <c r="A16" s="74"/>
      <c r="B16" s="73"/>
      <c r="C16" s="70"/>
      <c r="D16" s="71"/>
      <c r="E16" s="70"/>
      <c r="F16" s="71"/>
      <c r="G16" s="72"/>
    </row>
    <row r="17" spans="1:7">
      <c r="A17" s="69"/>
      <c r="B17" s="77" t="s">
        <v>5</v>
      </c>
      <c r="C17" s="70"/>
      <c r="D17" s="71"/>
      <c r="E17" s="70"/>
      <c r="F17" s="71"/>
      <c r="G17" s="72"/>
    </row>
    <row r="18" spans="1:7">
      <c r="A18" s="74"/>
      <c r="B18" s="73" t="s">
        <v>67</v>
      </c>
      <c r="C18" s="70" t="e">
        <f>PRESUPUESTO!#REF!</f>
        <v>#REF!</v>
      </c>
      <c r="D18" s="71"/>
      <c r="E18" s="70" t="e">
        <f>PRESUPUESTO!#REF!</f>
        <v>#REF!</v>
      </c>
      <c r="F18" s="71"/>
      <c r="G18" s="72" t="e">
        <f>C18-E18</f>
        <v>#REF!</v>
      </c>
    </row>
    <row r="19" spans="1:7">
      <c r="A19" s="74"/>
      <c r="B19" s="73" t="s">
        <v>68</v>
      </c>
      <c r="C19" s="70" t="e">
        <f>PRESUPUESTO!#REF!</f>
        <v>#REF!</v>
      </c>
      <c r="D19" s="71"/>
      <c r="E19" s="70" t="e">
        <f>PRESUPUESTO!#REF!</f>
        <v>#REF!</v>
      </c>
      <c r="F19" s="71"/>
      <c r="G19" s="72" t="e">
        <f t="shared" ref="G19:G23" si="0">C19-E19</f>
        <v>#REF!</v>
      </c>
    </row>
    <row r="20" spans="1:7">
      <c r="A20" s="74"/>
      <c r="B20" s="121" t="s">
        <v>78</v>
      </c>
      <c r="C20" s="70" t="e">
        <f>PRESUPUESTO!#REF!</f>
        <v>#REF!</v>
      </c>
      <c r="D20" s="71"/>
      <c r="E20" s="70" t="e">
        <f>PRESUPUESTO!#REF!</f>
        <v>#REF!</v>
      </c>
      <c r="F20" s="78"/>
      <c r="G20" s="72" t="e">
        <f t="shared" si="0"/>
        <v>#REF!</v>
      </c>
    </row>
    <row r="21" spans="1:7">
      <c r="A21" s="74"/>
      <c r="B21" s="121" t="s">
        <v>69</v>
      </c>
      <c r="C21" s="70" t="e">
        <f>PRESUPUESTO!#REF!</f>
        <v>#REF!</v>
      </c>
      <c r="D21" s="71"/>
      <c r="E21" s="70" t="e">
        <f>PRESUPUESTO!#REF!</f>
        <v>#REF!</v>
      </c>
      <c r="F21" s="71"/>
      <c r="G21" s="72" t="e">
        <f t="shared" si="0"/>
        <v>#REF!</v>
      </c>
    </row>
    <row r="22" spans="1:7">
      <c r="A22" s="74"/>
      <c r="B22" s="121" t="s">
        <v>81</v>
      </c>
      <c r="C22" s="70" t="e">
        <f>+PRESUPUESTO!#REF!</f>
        <v>#REF!</v>
      </c>
      <c r="D22" s="71"/>
      <c r="E22" s="70" t="e">
        <f>PRESUPUESTO!#REF!</f>
        <v>#REF!</v>
      </c>
      <c r="F22" s="71"/>
      <c r="G22" s="72" t="e">
        <f t="shared" si="0"/>
        <v>#REF!</v>
      </c>
    </row>
    <row r="23" spans="1:7">
      <c r="A23" s="74"/>
      <c r="B23" s="121" t="s">
        <v>79</v>
      </c>
      <c r="C23" s="79" t="e">
        <f>+PRESUPUESTO!#REF!</f>
        <v>#REF!</v>
      </c>
      <c r="D23" s="71"/>
      <c r="E23" s="79" t="e">
        <f>E21*0.18</f>
        <v>#REF!</v>
      </c>
      <c r="F23" s="71"/>
      <c r="G23" s="133" t="e">
        <f t="shared" si="0"/>
        <v>#REF!</v>
      </c>
    </row>
    <row r="24" spans="1:7">
      <c r="A24" s="74"/>
      <c r="B24" s="75" t="s">
        <v>70</v>
      </c>
      <c r="C24" s="128" t="e">
        <f>SUM(C18:C23)</f>
        <v>#REF!</v>
      </c>
      <c r="D24" s="127"/>
      <c r="E24" s="128" t="e">
        <f>SUM(E18:E23)</f>
        <v>#REF!</v>
      </c>
      <c r="F24" s="71"/>
      <c r="G24" s="80" t="e">
        <f>SUM(G18:G23)</f>
        <v>#REF!</v>
      </c>
    </row>
    <row r="25" spans="1:7">
      <c r="A25" s="74"/>
      <c r="B25" s="73"/>
      <c r="C25" s="76"/>
      <c r="D25" s="71"/>
      <c r="E25" s="76"/>
      <c r="F25" s="71"/>
      <c r="G25" s="80"/>
    </row>
    <row r="26" spans="1:7">
      <c r="A26" s="74"/>
      <c r="B26" s="75" t="s">
        <v>56</v>
      </c>
      <c r="C26" s="76" t="e">
        <f>C24+C14</f>
        <v>#REF!</v>
      </c>
      <c r="D26" s="91"/>
      <c r="E26" s="128" t="e">
        <f>E24+E14</f>
        <v>#REF!</v>
      </c>
      <c r="F26" s="91"/>
      <c r="G26" s="80" t="e">
        <f>G24+G14</f>
        <v>#REF!</v>
      </c>
    </row>
    <row r="27" spans="1:7">
      <c r="A27" s="74"/>
      <c r="B27" s="75"/>
      <c r="C27" s="76"/>
      <c r="D27" s="71"/>
      <c r="E27" s="76"/>
      <c r="F27" s="71"/>
      <c r="G27" s="80"/>
    </row>
    <row r="28" spans="1:7">
      <c r="A28" s="74"/>
      <c r="B28" s="121" t="s">
        <v>80</v>
      </c>
      <c r="C28" s="76" t="e">
        <f>+PRESUPUESTO!#REF!</f>
        <v>#REF!</v>
      </c>
      <c r="D28" s="91"/>
      <c r="E28" s="76" t="e">
        <f>E14*0.05</f>
        <v>#REF!</v>
      </c>
      <c r="F28" s="95"/>
      <c r="G28" s="80" t="e">
        <f>C28-E28</f>
        <v>#REF!</v>
      </c>
    </row>
    <row r="29" spans="1:7">
      <c r="A29" s="74"/>
      <c r="B29" s="121" t="s">
        <v>89</v>
      </c>
      <c r="C29" s="76" t="e">
        <f>+PRESUPUESTO!#REF!</f>
        <v>#REF!</v>
      </c>
      <c r="D29" s="71"/>
      <c r="E29" s="76">
        <f>E15*0.05</f>
        <v>0</v>
      </c>
      <c r="F29" s="71"/>
      <c r="G29" s="80" t="e">
        <f>C29-E29</f>
        <v>#REF!</v>
      </c>
    </row>
    <row r="30" spans="1:7" ht="13.5" thickBot="1">
      <c r="A30" s="74"/>
      <c r="B30" s="75"/>
      <c r="C30" s="76"/>
      <c r="D30" s="71"/>
      <c r="E30" s="76"/>
      <c r="F30" s="71"/>
      <c r="G30" s="80"/>
    </row>
    <row r="31" spans="1:7" ht="13.5" thickBot="1">
      <c r="A31" s="74"/>
      <c r="B31" s="81" t="s">
        <v>57</v>
      </c>
      <c r="C31" s="82" t="e">
        <f>SUM(C26:C30)+0.01</f>
        <v>#REF!</v>
      </c>
      <c r="D31" s="83"/>
      <c r="E31" s="82" t="e">
        <f>SUM(E26:E30)</f>
        <v>#REF!</v>
      </c>
      <c r="F31" s="84"/>
      <c r="G31" s="85" t="e">
        <f>G26+G28+G29+0.01</f>
        <v>#REF!</v>
      </c>
    </row>
    <row r="32" spans="1:7">
      <c r="A32" s="86"/>
      <c r="B32" s="87"/>
      <c r="C32" s="88"/>
      <c r="D32" s="89"/>
      <c r="E32" s="88"/>
      <c r="F32" s="67"/>
      <c r="G32" s="90"/>
    </row>
    <row r="33" spans="1:10">
      <c r="A33" s="74"/>
      <c r="B33" s="73"/>
      <c r="C33" s="76"/>
      <c r="D33" s="91"/>
      <c r="E33" s="76"/>
      <c r="F33" s="71"/>
      <c r="G33" s="80"/>
    </row>
    <row r="34" spans="1:10" ht="13.5" thickBot="1">
      <c r="A34" s="74"/>
      <c r="B34" s="93" t="s">
        <v>58</v>
      </c>
      <c r="C34" s="76"/>
      <c r="D34" s="91"/>
      <c r="E34" s="92" t="e">
        <f>SUM(C31)</f>
        <v>#REF!</v>
      </c>
      <c r="F34" s="71"/>
      <c r="G34" s="80"/>
    </row>
    <row r="35" spans="1:10">
      <c r="A35" s="74"/>
      <c r="B35" s="73" t="s">
        <v>59</v>
      </c>
      <c r="C35" s="76"/>
      <c r="D35" s="91"/>
      <c r="E35" s="76" t="e">
        <f>E34</f>
        <v>#REF!</v>
      </c>
      <c r="F35" s="71"/>
      <c r="G35" s="80"/>
    </row>
    <row r="36" spans="1:10">
      <c r="A36" s="74"/>
      <c r="B36" s="73"/>
      <c r="C36" s="76"/>
      <c r="D36" s="91"/>
      <c r="E36" s="76"/>
      <c r="F36" s="71"/>
      <c r="G36" s="80"/>
    </row>
    <row r="37" spans="1:10" ht="13.5" thickBot="1">
      <c r="A37" s="74"/>
      <c r="B37" s="121" t="s">
        <v>98</v>
      </c>
      <c r="C37" s="76"/>
      <c r="D37" s="91"/>
      <c r="E37" s="92" t="e">
        <f>E31</f>
        <v>#REF!</v>
      </c>
      <c r="F37" s="71"/>
      <c r="G37" s="80"/>
    </row>
    <row r="38" spans="1:10">
      <c r="A38" s="74"/>
      <c r="B38" s="73" t="s">
        <v>60</v>
      </c>
      <c r="C38" s="70"/>
      <c r="D38" s="71"/>
      <c r="E38" s="76" t="e">
        <f>E37</f>
        <v>#REF!</v>
      </c>
      <c r="F38" s="71"/>
      <c r="G38" s="72"/>
    </row>
    <row r="39" spans="1:10">
      <c r="A39" s="74"/>
      <c r="B39" s="121" t="s">
        <v>97</v>
      </c>
      <c r="C39" s="70"/>
      <c r="D39" s="71"/>
      <c r="E39" s="150">
        <f>[4]RESUMEN!$E$48</f>
        <v>834308.94445759978</v>
      </c>
      <c r="F39" s="71"/>
      <c r="G39" s="72"/>
    </row>
    <row r="40" spans="1:10">
      <c r="A40" s="74"/>
      <c r="B40" s="93" t="s">
        <v>61</v>
      </c>
      <c r="C40" s="94">
        <v>416677.95</v>
      </c>
      <c r="D40" s="95"/>
      <c r="E40" s="94"/>
      <c r="F40" s="71"/>
      <c r="G40" s="72"/>
      <c r="J40" s="96"/>
    </row>
    <row r="41" spans="1:10" ht="13.5" thickBot="1">
      <c r="A41" s="74"/>
      <c r="B41" s="121" t="s">
        <v>93</v>
      </c>
      <c r="C41" s="92" t="e">
        <f>+E41</f>
        <v>#REF!</v>
      </c>
      <c r="D41" s="95"/>
      <c r="E41" s="92" t="e">
        <f>0.2*E31</f>
        <v>#REF!</v>
      </c>
      <c r="F41" s="71"/>
      <c r="G41" s="72"/>
    </row>
    <row r="42" spans="1:10">
      <c r="A42" s="74"/>
      <c r="B42" s="121"/>
      <c r="C42" s="70"/>
      <c r="D42" s="71"/>
      <c r="E42" s="76"/>
      <c r="F42" s="71"/>
      <c r="G42" s="72"/>
    </row>
    <row r="43" spans="1:10">
      <c r="A43" s="74"/>
      <c r="B43" s="93" t="s">
        <v>62</v>
      </c>
      <c r="C43" s="94"/>
      <c r="D43" s="95"/>
      <c r="E43" s="101" t="e">
        <f>E38-E41-E39</f>
        <v>#REF!</v>
      </c>
      <c r="F43" s="71"/>
      <c r="G43" s="72"/>
    </row>
    <row r="44" spans="1:10" ht="13.5" thickBot="1">
      <c r="A44" s="74"/>
      <c r="B44" s="98"/>
      <c r="C44" s="76"/>
      <c r="D44" s="71"/>
      <c r="E44" s="99">
        <v>0</v>
      </c>
      <c r="F44" s="71"/>
      <c r="G44" s="72"/>
    </row>
    <row r="45" spans="1:10">
      <c r="A45" s="74"/>
      <c r="B45" s="73"/>
      <c r="C45" s="76"/>
      <c r="D45" s="71"/>
      <c r="E45" s="100"/>
      <c r="F45" s="71"/>
      <c r="G45" s="72"/>
    </row>
    <row r="46" spans="1:10">
      <c r="A46" s="74"/>
      <c r="B46" s="121" t="s">
        <v>100</v>
      </c>
      <c r="C46" s="94"/>
      <c r="D46" s="95"/>
      <c r="E46" s="101" t="e">
        <f>E43-E44</f>
        <v>#REF!</v>
      </c>
      <c r="F46" s="71"/>
      <c r="G46" s="72"/>
    </row>
    <row r="47" spans="1:10">
      <c r="A47" s="74"/>
      <c r="B47" s="73"/>
      <c r="C47" s="70"/>
      <c r="D47" s="71"/>
      <c r="E47" s="100"/>
      <c r="F47" s="71"/>
      <c r="G47" s="72"/>
    </row>
    <row r="48" spans="1:10">
      <c r="A48" s="74"/>
      <c r="B48" s="75" t="s">
        <v>73</v>
      </c>
      <c r="C48" s="120"/>
      <c r="D48" s="91"/>
      <c r="E48" s="97" t="e">
        <f>E46</f>
        <v>#REF!</v>
      </c>
      <c r="F48" s="71"/>
      <c r="G48" s="72"/>
    </row>
    <row r="49" spans="1:7">
      <c r="A49" s="74"/>
      <c r="B49" s="73"/>
      <c r="C49" s="70"/>
      <c r="D49" s="71"/>
      <c r="E49" s="100"/>
      <c r="F49" s="71"/>
      <c r="G49" s="72"/>
    </row>
    <row r="50" spans="1:7" ht="13.5" hidden="1" thickBot="1">
      <c r="A50" s="73"/>
      <c r="B50" s="102" t="s">
        <v>63</v>
      </c>
      <c r="C50" s="71"/>
      <c r="D50" s="71"/>
      <c r="E50" s="103"/>
      <c r="F50" s="71"/>
      <c r="G50" s="104"/>
    </row>
    <row r="51" spans="1:7" ht="13.5" thickBot="1">
      <c r="A51" s="105"/>
      <c r="B51" s="113" t="s">
        <v>99</v>
      </c>
      <c r="C51" s="79"/>
      <c r="D51" s="114"/>
      <c r="E51" s="115">
        <v>0</v>
      </c>
      <c r="F51" s="71"/>
      <c r="G51" s="80"/>
    </row>
    <row r="52" spans="1:7">
      <c r="A52" s="52"/>
      <c r="B52" s="91"/>
      <c r="C52" s="139"/>
      <c r="D52" s="71"/>
      <c r="E52" s="97"/>
      <c r="F52" s="71"/>
      <c r="G52" s="76"/>
    </row>
    <row r="53" spans="1:7">
      <c r="C53" s="140"/>
      <c r="E53" s="140"/>
      <c r="G53" s="140"/>
    </row>
    <row r="54" spans="1:7">
      <c r="C54" s="140"/>
      <c r="E54" s="140"/>
      <c r="G54" s="140"/>
    </row>
    <row r="55" spans="1:7">
      <c r="B55" s="141"/>
      <c r="C55" s="140"/>
      <c r="E55" s="114"/>
      <c r="F55" s="142"/>
      <c r="G55" s="143"/>
    </row>
    <row r="56" spans="1:7">
      <c r="B56" s="124" t="s">
        <v>82</v>
      </c>
      <c r="C56" s="140"/>
      <c r="E56" s="107"/>
      <c r="F56" s="135" t="s">
        <v>76</v>
      </c>
      <c r="G56" s="132"/>
    </row>
    <row r="57" spans="1:7">
      <c r="B57" s="149" t="s">
        <v>103</v>
      </c>
      <c r="C57" s="140"/>
      <c r="E57" s="107"/>
      <c r="F57" s="134" t="e">
        <f>+PRESUPUESTO!#REF!</f>
        <v>#REF!</v>
      </c>
      <c r="G57" s="132"/>
    </row>
    <row r="58" spans="1:7">
      <c r="B58" s="149" t="s">
        <v>104</v>
      </c>
      <c r="C58" s="140"/>
      <c r="E58" s="107"/>
      <c r="F58" s="136" t="s">
        <v>77</v>
      </c>
      <c r="G58" s="132"/>
    </row>
    <row r="59" spans="1:7">
      <c r="B59" s="125"/>
      <c r="C59" s="140"/>
      <c r="E59" s="107"/>
      <c r="F59" s="136"/>
      <c r="G59" s="132"/>
    </row>
    <row r="60" spans="1:7">
      <c r="B60" s="125"/>
      <c r="C60" s="140"/>
      <c r="E60" s="107"/>
      <c r="F60" s="136"/>
      <c r="G60" s="132"/>
    </row>
    <row r="61" spans="1:7">
      <c r="B61" s="125"/>
      <c r="C61" s="140"/>
      <c r="E61" s="4"/>
      <c r="F61" s="145"/>
      <c r="G61" s="2"/>
    </row>
    <row r="62" spans="1:7">
      <c r="A62" s="137"/>
      <c r="B62" s="134"/>
      <c r="C62" s="6"/>
      <c r="D62" s="144"/>
      <c r="E62" s="4"/>
      <c r="F62" s="145"/>
      <c r="G62" s="2"/>
    </row>
    <row r="63" spans="1:7">
      <c r="A63" s="138"/>
      <c r="B63" s="125"/>
      <c r="C63" s="134"/>
      <c r="D63" s="138"/>
      <c r="E63" s="4"/>
      <c r="F63" s="145"/>
      <c r="G63" s="2"/>
    </row>
    <row r="64" spans="1:7">
      <c r="A64" s="109"/>
      <c r="B64" s="125"/>
      <c r="C64" s="137" t="s">
        <v>64</v>
      </c>
      <c r="D64" s="110"/>
      <c r="E64" s="4"/>
      <c r="F64" s="145"/>
      <c r="G64" s="2"/>
    </row>
    <row r="65" spans="2:7">
      <c r="B65" s="125"/>
      <c r="C65" s="134" t="s">
        <v>83</v>
      </c>
      <c r="D65" s="110"/>
      <c r="E65" s="107"/>
      <c r="G65" s="132"/>
    </row>
    <row r="66" spans="2:7">
      <c r="B66" s="125"/>
      <c r="C66" s="134" t="s">
        <v>84</v>
      </c>
      <c r="D66" s="109"/>
      <c r="E66" s="107"/>
      <c r="G66" s="146"/>
    </row>
    <row r="67" spans="2:7">
      <c r="B67" s="125"/>
    </row>
    <row r="68" spans="2:7">
      <c r="B68" s="125"/>
    </row>
  </sheetData>
  <mergeCells count="4">
    <mergeCell ref="D9:E9"/>
    <mergeCell ref="F9:G10"/>
    <mergeCell ref="D10:E10"/>
    <mergeCell ref="A1:G1"/>
  </mergeCells>
  <printOptions horizontalCentered="1" gridLines="1"/>
  <pageMargins left="0.25" right="0.25" top="0.57999999999999996" bottom="0.39" header="0.17" footer="0.19685039370078741"/>
  <pageSetup scale="76" orientation="portrait" horizontalDpi="300" verticalDpi="300" r:id="rId1"/>
  <headerFooter alignWithMargins="0">
    <oddFooter>Página &amp;P&amp;R&amp;A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7"/>
  <sheetViews>
    <sheetView tabSelected="1" view="pageBreakPreview" zoomScaleSheetLayoutView="100" workbookViewId="0">
      <selection activeCell="B29" sqref="B28:B29"/>
    </sheetView>
  </sheetViews>
  <sheetFormatPr baseColWidth="10" defaultColWidth="11.42578125" defaultRowHeight="12.75"/>
  <cols>
    <col min="1" max="1" width="15.42578125" bestFit="1" customWidth="1"/>
    <col min="2" max="2" width="63.5703125" style="123" customWidth="1"/>
    <col min="3" max="3" width="10.42578125" style="154" bestFit="1" customWidth="1"/>
    <col min="4" max="4" width="6" style="6" bestFit="1" customWidth="1"/>
    <col min="5" max="7" width="13.85546875" style="5" customWidth="1"/>
    <col min="8" max="8" width="11.42578125" style="5" customWidth="1"/>
    <col min="9" max="10" width="7" bestFit="1" customWidth="1"/>
    <col min="11" max="11" width="7" customWidth="1"/>
    <col min="12" max="14" width="7" bestFit="1" customWidth="1"/>
  </cols>
  <sheetData>
    <row r="1" spans="1:8" ht="20.25">
      <c r="A1" s="333" t="s">
        <v>6</v>
      </c>
      <c r="B1" s="333"/>
      <c r="C1" s="333"/>
      <c r="D1" s="333"/>
      <c r="E1" s="333"/>
      <c r="F1" s="333"/>
      <c r="G1" s="333"/>
    </row>
    <row r="2" spans="1:8" ht="15.75">
      <c r="A2" s="334" t="s">
        <v>0</v>
      </c>
      <c r="B2" s="334"/>
      <c r="C2" s="334"/>
      <c r="D2" s="334"/>
      <c r="E2" s="334"/>
      <c r="F2" s="334"/>
      <c r="G2" s="334"/>
    </row>
    <row r="3" spans="1:8" ht="15.75">
      <c r="A3" s="334" t="s">
        <v>115</v>
      </c>
      <c r="B3" s="334"/>
      <c r="C3" s="334"/>
      <c r="D3" s="334"/>
      <c r="E3" s="334"/>
      <c r="F3" s="334"/>
      <c r="G3" s="334"/>
    </row>
    <row r="4" spans="1:8">
      <c r="A4" s="335" t="s">
        <v>443</v>
      </c>
      <c r="B4" s="335"/>
      <c r="C4" s="335"/>
      <c r="D4" s="335"/>
      <c r="E4" s="335"/>
      <c r="F4" s="335"/>
      <c r="G4" s="335"/>
    </row>
    <row r="5" spans="1:8">
      <c r="A5" s="1"/>
      <c r="B5" s="122"/>
      <c r="C5" s="155"/>
      <c r="D5" s="153"/>
      <c r="E5" s="2"/>
      <c r="F5" s="336"/>
      <c r="G5" s="336"/>
    </row>
    <row r="6" spans="1:8">
      <c r="A6" s="285" t="s">
        <v>278</v>
      </c>
      <c r="B6" s="151" t="s">
        <v>356</v>
      </c>
      <c r="C6" s="156"/>
      <c r="D6" s="153"/>
      <c r="E6" s="2"/>
      <c r="F6" s="2" t="s">
        <v>135</v>
      </c>
    </row>
    <row r="7" spans="1:8">
      <c r="A7" s="285" t="s">
        <v>279</v>
      </c>
      <c r="B7" s="151" t="s">
        <v>307</v>
      </c>
      <c r="C7" s="155"/>
      <c r="D7" s="153"/>
      <c r="E7" s="2"/>
      <c r="F7" s="2"/>
    </row>
    <row r="8" spans="1:8">
      <c r="A8" s="285" t="s">
        <v>280</v>
      </c>
      <c r="B8" s="122"/>
      <c r="C8" s="155"/>
      <c r="D8" s="3"/>
      <c r="E8" s="2"/>
      <c r="F8" s="2"/>
    </row>
    <row r="9" spans="1:8" ht="15">
      <c r="A9" s="286" t="s">
        <v>166</v>
      </c>
      <c r="B9" s="293" t="s">
        <v>308</v>
      </c>
      <c r="C9" s="157"/>
      <c r="D9" s="108"/>
      <c r="E9" s="96"/>
      <c r="F9" s="96"/>
    </row>
    <row r="10" spans="1:8">
      <c r="A10" s="158" t="s">
        <v>65</v>
      </c>
      <c r="B10" s="159" t="s">
        <v>1</v>
      </c>
      <c r="C10" s="160" t="s">
        <v>2</v>
      </c>
      <c r="D10" s="158" t="s">
        <v>4</v>
      </c>
      <c r="E10" s="161" t="s">
        <v>3</v>
      </c>
      <c r="F10" s="161" t="s">
        <v>112</v>
      </c>
      <c r="G10" s="162" t="s">
        <v>113</v>
      </c>
      <c r="H10" s="152"/>
    </row>
    <row r="11" spans="1:8">
      <c r="A11" s="163"/>
      <c r="B11" s="164"/>
      <c r="C11" s="165"/>
      <c r="D11" s="163"/>
      <c r="E11" s="166"/>
      <c r="F11" s="166"/>
      <c r="G11" s="167"/>
      <c r="H11" s="152"/>
    </row>
    <row r="12" spans="1:8" s="192" customFormat="1">
      <c r="A12" s="243" t="s">
        <v>86</v>
      </c>
      <c r="B12" s="244" t="s">
        <v>191</v>
      </c>
      <c r="C12" s="245"/>
      <c r="D12" s="246"/>
      <c r="E12" s="246"/>
      <c r="F12" s="246"/>
      <c r="G12" s="247"/>
      <c r="H12" s="191"/>
    </row>
    <row r="13" spans="1:8" s="173" customFormat="1">
      <c r="A13" s="169"/>
      <c r="B13" s="169"/>
      <c r="C13" s="170"/>
      <c r="D13" s="169"/>
      <c r="E13" s="169"/>
      <c r="F13" s="169"/>
      <c r="G13" s="169"/>
      <c r="H13" s="172"/>
    </row>
    <row r="14" spans="1:8" s="192" customFormat="1">
      <c r="A14" s="184" t="s">
        <v>264</v>
      </c>
      <c r="B14" s="186" t="s">
        <v>126</v>
      </c>
      <c r="C14" s="188"/>
      <c r="D14" s="186"/>
      <c r="E14" s="186"/>
      <c r="F14" s="182"/>
      <c r="G14" s="186"/>
      <c r="H14" s="191"/>
    </row>
    <row r="15" spans="1:8" s="192" customFormat="1">
      <c r="A15" s="184" t="s">
        <v>88</v>
      </c>
      <c r="B15" s="186" t="s">
        <v>147</v>
      </c>
      <c r="C15" s="188"/>
      <c r="D15" s="186"/>
      <c r="E15" s="186"/>
      <c r="F15" s="182"/>
      <c r="G15" s="186"/>
      <c r="H15" s="191"/>
    </row>
    <row r="16" spans="1:8" s="192" customFormat="1" ht="42" customHeight="1">
      <c r="A16" s="185">
        <v>1</v>
      </c>
      <c r="B16" s="296" t="s">
        <v>442</v>
      </c>
      <c r="C16" s="188">
        <v>1</v>
      </c>
      <c r="D16" s="185" t="s">
        <v>245</v>
      </c>
      <c r="E16" s="182"/>
      <c r="F16" s="182"/>
      <c r="G16" s="186"/>
      <c r="H16" s="191"/>
    </row>
    <row r="17" spans="1:8" s="192" customFormat="1">
      <c r="A17" s="185">
        <v>2</v>
      </c>
      <c r="B17" s="190" t="s">
        <v>286</v>
      </c>
      <c r="C17" s="188">
        <v>1</v>
      </c>
      <c r="D17" s="185" t="s">
        <v>245</v>
      </c>
      <c r="E17" s="182"/>
      <c r="F17" s="182"/>
      <c r="G17" s="190"/>
      <c r="H17" s="191"/>
    </row>
    <row r="18" spans="1:8" s="192" customFormat="1">
      <c r="A18" s="185">
        <f>A17+1</f>
        <v>3</v>
      </c>
      <c r="B18" s="190" t="s">
        <v>246</v>
      </c>
      <c r="C18" s="188">
        <v>1</v>
      </c>
      <c r="D18" s="185" t="s">
        <v>245</v>
      </c>
      <c r="E18" s="182"/>
      <c r="F18" s="182"/>
      <c r="G18" s="190"/>
      <c r="H18" s="191"/>
    </row>
    <row r="19" spans="1:8" s="192" customFormat="1">
      <c r="A19" s="185">
        <f t="shared" ref="A19:A40" si="0">A18+1</f>
        <v>4</v>
      </c>
      <c r="B19" s="183" t="s">
        <v>425</v>
      </c>
      <c r="C19" s="188">
        <f>ROUND((30.6*36.7),2)</f>
        <v>1123.02</v>
      </c>
      <c r="D19" s="185" t="s">
        <v>87</v>
      </c>
      <c r="E19" s="182"/>
      <c r="F19" s="182"/>
      <c r="G19" s="186"/>
      <c r="H19" s="191"/>
    </row>
    <row r="20" spans="1:8" s="192" customFormat="1">
      <c r="A20" s="185">
        <f t="shared" si="0"/>
        <v>5</v>
      </c>
      <c r="B20" s="183" t="s">
        <v>426</v>
      </c>
      <c r="C20" s="188">
        <f>ROUND((14.6+3.85)*0.3*0.15,2)</f>
        <v>0.83</v>
      </c>
      <c r="D20" s="185" t="s">
        <v>87</v>
      </c>
      <c r="E20" s="182"/>
      <c r="F20" s="182"/>
      <c r="G20" s="186"/>
      <c r="H20" s="191"/>
    </row>
    <row r="21" spans="1:8" s="268" customFormat="1">
      <c r="A21" s="185">
        <f t="shared" si="0"/>
        <v>6</v>
      </c>
      <c r="B21" s="183" t="s">
        <v>427</v>
      </c>
      <c r="C21" s="189">
        <f>ROUND((11.6*4.15),2)</f>
        <v>48.14</v>
      </c>
      <c r="D21" s="291" t="s">
        <v>87</v>
      </c>
      <c r="E21" s="269"/>
      <c r="F21" s="269"/>
      <c r="G21" s="187"/>
      <c r="H21" s="267"/>
    </row>
    <row r="22" spans="1:8" s="268" customFormat="1" ht="25.5">
      <c r="A22" s="185">
        <f t="shared" si="0"/>
        <v>7</v>
      </c>
      <c r="B22" s="183" t="s">
        <v>428</v>
      </c>
      <c r="C22" s="189">
        <f>ROUND(3.9*2.6,2)</f>
        <v>10.14</v>
      </c>
      <c r="D22" s="291" t="s">
        <v>87</v>
      </c>
      <c r="E22" s="188"/>
      <c r="F22" s="269"/>
      <c r="G22" s="187"/>
      <c r="H22" s="267"/>
    </row>
    <row r="23" spans="1:8" s="268" customFormat="1" ht="25.5">
      <c r="A23" s="185">
        <f t="shared" si="0"/>
        <v>8</v>
      </c>
      <c r="B23" s="183" t="s">
        <v>429</v>
      </c>
      <c r="C23" s="189">
        <f>ROUND(27.03*6.35,2)</f>
        <v>171.64</v>
      </c>
      <c r="D23" s="291" t="s">
        <v>87</v>
      </c>
      <c r="E23" s="188"/>
      <c r="F23" s="269"/>
      <c r="G23" s="187"/>
      <c r="H23" s="267"/>
    </row>
    <row r="24" spans="1:8" s="192" customFormat="1">
      <c r="A24" s="185">
        <f t="shared" si="0"/>
        <v>9</v>
      </c>
      <c r="B24" s="183" t="s">
        <v>430</v>
      </c>
      <c r="C24" s="188">
        <f>ROUND((17*0.8*0.4*0.4),2)</f>
        <v>2.1800000000000002</v>
      </c>
      <c r="D24" s="185" t="s">
        <v>149</v>
      </c>
      <c r="E24" s="270"/>
      <c r="F24" s="269"/>
      <c r="G24" s="186"/>
      <c r="H24" s="191"/>
    </row>
    <row r="25" spans="1:8" s="268" customFormat="1">
      <c r="A25" s="185">
        <f t="shared" si="0"/>
        <v>10</v>
      </c>
      <c r="B25" s="183" t="s">
        <v>431</v>
      </c>
      <c r="C25" s="189">
        <f>ROUND((1.2*0.4*0.4)*2,2)</f>
        <v>0.38</v>
      </c>
      <c r="D25" s="291" t="s">
        <v>149</v>
      </c>
      <c r="E25" s="269"/>
      <c r="F25" s="269"/>
      <c r="G25" s="187"/>
      <c r="H25" s="267"/>
    </row>
    <row r="26" spans="1:8" s="192" customFormat="1">
      <c r="A26" s="185">
        <f t="shared" si="0"/>
        <v>11</v>
      </c>
      <c r="B26" s="183" t="s">
        <v>432</v>
      </c>
      <c r="C26" s="188">
        <f>ROUND(((1.6*0.6)+((2.3*1.1)-(0.8*0.8))*2),2)</f>
        <v>4.74</v>
      </c>
      <c r="D26" s="185" t="s">
        <v>87</v>
      </c>
      <c r="E26" s="188"/>
      <c r="F26" s="269"/>
      <c r="G26" s="186"/>
      <c r="H26" s="191"/>
    </row>
    <row r="27" spans="1:8" s="192" customFormat="1">
      <c r="A27" s="185">
        <f t="shared" si="0"/>
        <v>12</v>
      </c>
      <c r="B27" s="183" t="s">
        <v>433</v>
      </c>
      <c r="C27" s="188">
        <f>ROUND(((4.3-1.1+4.75)*2.3+(0.8*0.4)*2)+(3.85*1.2+(3.85+2*6.1)*4.8-(3*3+2.3*0.6)),2)</f>
        <v>90.21</v>
      </c>
      <c r="D27" s="185" t="s">
        <v>87</v>
      </c>
      <c r="E27" s="188"/>
      <c r="F27" s="269"/>
      <c r="G27" s="186"/>
      <c r="H27" s="191"/>
    </row>
    <row r="28" spans="1:8" s="268" customFormat="1">
      <c r="A28" s="185">
        <f t="shared" si="0"/>
        <v>13</v>
      </c>
      <c r="B28" s="183" t="s">
        <v>434</v>
      </c>
      <c r="C28" s="189">
        <f>ROUND((11.6*2.9)+(4.15*4*2.9),2)</f>
        <v>81.78</v>
      </c>
      <c r="D28" s="291" t="s">
        <v>87</v>
      </c>
      <c r="E28" s="188"/>
      <c r="F28" s="269"/>
      <c r="G28" s="187"/>
      <c r="H28" s="267"/>
    </row>
    <row r="29" spans="1:8" s="268" customFormat="1">
      <c r="A29" s="185">
        <f t="shared" si="0"/>
        <v>14</v>
      </c>
      <c r="B29" s="183" t="s">
        <v>435</v>
      </c>
      <c r="C29" s="189">
        <f>ROUND((0.9*3.9*2)+(1.2*2.6),2)</f>
        <v>10.14</v>
      </c>
      <c r="D29" s="291" t="s">
        <v>87</v>
      </c>
      <c r="E29" s="188"/>
      <c r="F29" s="269"/>
      <c r="G29" s="187"/>
      <c r="H29" s="267"/>
    </row>
    <row r="30" spans="1:8" s="268" customFormat="1">
      <c r="A30" s="185">
        <f t="shared" si="0"/>
        <v>15</v>
      </c>
      <c r="B30" s="183" t="s">
        <v>436</v>
      </c>
      <c r="C30" s="189">
        <f>ROUND(((14.6*(1.2+0.2)/2)),2)</f>
        <v>10.220000000000001</v>
      </c>
      <c r="D30" s="291" t="s">
        <v>87</v>
      </c>
      <c r="E30" s="188"/>
      <c r="F30" s="269"/>
      <c r="G30" s="187"/>
      <c r="H30" s="267"/>
    </row>
    <row r="31" spans="1:8" s="268" customFormat="1" ht="25.5">
      <c r="A31" s="185">
        <f t="shared" si="0"/>
        <v>16</v>
      </c>
      <c r="B31" s="183" t="s">
        <v>437</v>
      </c>
      <c r="C31" s="189">
        <f>ROUND(((2.3*0.25)+(3.15*0.25)),2)</f>
        <v>1.36</v>
      </c>
      <c r="D31" s="291" t="s">
        <v>87</v>
      </c>
      <c r="E31" s="188"/>
      <c r="F31" s="269"/>
      <c r="G31" s="187"/>
      <c r="H31" s="267"/>
    </row>
    <row r="32" spans="1:8" s="268" customFormat="1">
      <c r="A32" s="185">
        <f t="shared" si="0"/>
        <v>17</v>
      </c>
      <c r="B32" s="183" t="s">
        <v>438</v>
      </c>
      <c r="C32" s="189">
        <f>ROUND(((0.25*0.25*1.7)*2),2)</f>
        <v>0.21</v>
      </c>
      <c r="D32" s="291" t="s">
        <v>149</v>
      </c>
      <c r="E32" s="269"/>
      <c r="F32" s="269"/>
      <c r="G32" s="187"/>
      <c r="H32" s="267"/>
    </row>
    <row r="33" spans="1:11" s="268" customFormat="1">
      <c r="A33" s="185">
        <f t="shared" si="0"/>
        <v>18</v>
      </c>
      <c r="B33" s="183" t="s">
        <v>439</v>
      </c>
      <c r="C33" s="189">
        <f>ROUND((4.15*0.2*0.3)*2,2)</f>
        <v>0.5</v>
      </c>
      <c r="D33" s="291" t="s">
        <v>149</v>
      </c>
      <c r="E33" s="269"/>
      <c r="F33" s="269"/>
      <c r="G33" s="187"/>
      <c r="H33" s="267"/>
    </row>
    <row r="34" spans="1:11" s="268" customFormat="1">
      <c r="A34" s="185">
        <f t="shared" si="0"/>
        <v>19</v>
      </c>
      <c r="B34" s="183" t="s">
        <v>440</v>
      </c>
      <c r="C34" s="189">
        <f>ROUND(11.6*4.15,2)</f>
        <v>48.14</v>
      </c>
      <c r="D34" s="291" t="s">
        <v>87</v>
      </c>
      <c r="E34" s="269"/>
      <c r="F34" s="269"/>
      <c r="G34" s="187"/>
      <c r="H34" s="267"/>
    </row>
    <row r="35" spans="1:11" s="268" customFormat="1">
      <c r="A35" s="185">
        <f t="shared" si="0"/>
        <v>20</v>
      </c>
      <c r="B35" s="183" t="s">
        <v>441</v>
      </c>
      <c r="C35" s="189">
        <f>ROUND((1.2*1.2*0.3)*1,2)</f>
        <v>0.43</v>
      </c>
      <c r="D35" s="291" t="s">
        <v>149</v>
      </c>
      <c r="E35" s="269"/>
      <c r="F35" s="269"/>
      <c r="G35" s="187"/>
      <c r="H35" s="267"/>
    </row>
    <row r="36" spans="1:11" s="192" customFormat="1">
      <c r="A36" s="185">
        <f t="shared" si="0"/>
        <v>21</v>
      </c>
      <c r="B36" s="183" t="s">
        <v>192</v>
      </c>
      <c r="C36" s="257">
        <f>ROUND((I36-J36-K36),2)</f>
        <v>487.94</v>
      </c>
      <c r="D36" s="185" t="s">
        <v>87</v>
      </c>
      <c r="E36" s="188"/>
      <c r="F36" s="182"/>
      <c r="G36" s="186"/>
      <c r="H36" s="191"/>
      <c r="I36" s="192">
        <f>((30.6*2)+(36.7*2))*4.8+((30.6*2.2)/2*2)-((6.1*2+3.85)*4.8-(3*3+2.3*0.6+2*0.9*2.1))</f>
        <v>650.5200000000001</v>
      </c>
      <c r="J36" s="192">
        <f>0*(3*3)+(0.9*2.1*8)+(1.8*2.5*6)</f>
        <v>42.120000000000005</v>
      </c>
      <c r="K36" s="192">
        <f>(1.1*1.2)+(7+0+0+6)*(0.6*2.3)+(0+14+14+12)*(2.3*1.1)</f>
        <v>120.45999999999998</v>
      </c>
    </row>
    <row r="37" spans="1:11" s="192" customFormat="1">
      <c r="A37" s="185">
        <f t="shared" si="0"/>
        <v>22</v>
      </c>
      <c r="B37" s="183" t="s">
        <v>193</v>
      </c>
      <c r="C37" s="257">
        <f>ROUND(C36*0.3,2)</f>
        <v>146.38</v>
      </c>
      <c r="D37" s="185" t="s">
        <v>87</v>
      </c>
      <c r="E37" s="188"/>
      <c r="F37" s="182"/>
      <c r="G37" s="186"/>
      <c r="H37" s="191"/>
    </row>
    <row r="38" spans="1:11" s="192" customFormat="1">
      <c r="A38" s="185">
        <f t="shared" si="0"/>
        <v>23</v>
      </c>
      <c r="B38" s="183" t="s">
        <v>194</v>
      </c>
      <c r="C38" s="257">
        <f>ROUND((J38+K38),2)</f>
        <v>86.72</v>
      </c>
      <c r="D38" s="185" t="s">
        <v>87</v>
      </c>
      <c r="E38" s="188"/>
      <c r="F38" s="182"/>
      <c r="G38" s="186"/>
      <c r="H38" s="191"/>
      <c r="J38" s="192">
        <f>0*(3+2*3)+((0.9+2*2.1)*8*0.2)+((1.8+2*2.5)*6*0.2)</f>
        <v>16.32</v>
      </c>
      <c r="K38" s="192">
        <f>(1+0+0+0)*(1.1+1.2)*2*0.2+(7+0+0+6)*(0.6+2.3)*2*0.2+(0+14+14+12)*(2.3+1.1)*2*0.2</f>
        <v>70.400000000000006</v>
      </c>
    </row>
    <row r="39" spans="1:11" s="192" customFormat="1">
      <c r="A39" s="185">
        <f t="shared" si="0"/>
        <v>24</v>
      </c>
      <c r="B39" s="183" t="s">
        <v>198</v>
      </c>
      <c r="C39" s="188">
        <f>ROUND((2.3*1.1*11),2)</f>
        <v>27.83</v>
      </c>
      <c r="D39" s="185" t="s">
        <v>87</v>
      </c>
      <c r="E39" s="182"/>
      <c r="F39" s="182"/>
      <c r="G39" s="186"/>
      <c r="H39" s="191"/>
    </row>
    <row r="40" spans="1:11" s="192" customFormat="1">
      <c r="A40" s="185">
        <f t="shared" si="0"/>
        <v>25</v>
      </c>
      <c r="B40" s="190" t="s">
        <v>151</v>
      </c>
      <c r="C40" s="188">
        <f>ROUND(((C19*0.15)+C20+(C21*0.12)+((C22+C23)*0.1)+(C24+C25)+(SUM(C26:C31)*0.15)+C32+C33+(C34*0.12)+C35+(C36*0.025)+(C37*0.025)+(C38*0.025))*1.5,2)</f>
        <v>375.76</v>
      </c>
      <c r="D40" s="185" t="s">
        <v>149</v>
      </c>
      <c r="E40" s="182"/>
      <c r="F40" s="182"/>
      <c r="G40" s="187"/>
      <c r="H40" s="191"/>
    </row>
    <row r="41" spans="1:11" s="192" customFormat="1">
      <c r="A41" s="185"/>
      <c r="B41" s="190"/>
      <c r="C41" s="188"/>
      <c r="D41" s="185"/>
      <c r="E41" s="182"/>
      <c r="F41" s="182"/>
      <c r="G41" s="187"/>
      <c r="H41" s="191"/>
    </row>
    <row r="42" spans="1:11" s="241" customFormat="1">
      <c r="A42" s="184" t="s">
        <v>107</v>
      </c>
      <c r="B42" s="186" t="s">
        <v>219</v>
      </c>
      <c r="C42" s="259"/>
      <c r="D42" s="184"/>
      <c r="E42" s="195"/>
      <c r="F42" s="195"/>
      <c r="G42" s="187"/>
      <c r="H42" s="256"/>
    </row>
    <row r="43" spans="1:11" s="192" customFormat="1" ht="25.5">
      <c r="A43" s="185">
        <v>1</v>
      </c>
      <c r="B43" s="262" t="s">
        <v>357</v>
      </c>
      <c r="C43" s="188">
        <f>ROUND((17*0.8*(1.2^2-0.4^2)),2)</f>
        <v>17.41</v>
      </c>
      <c r="D43" s="185" t="s">
        <v>149</v>
      </c>
      <c r="E43" s="258"/>
      <c r="F43" s="182">
        <f t="shared" ref="F43:F44" si="1">ROUND(C43*E43,2)</f>
        <v>0</v>
      </c>
      <c r="G43" s="187"/>
      <c r="H43" s="191"/>
    </row>
    <row r="44" spans="1:11" s="192" customFormat="1">
      <c r="A44" s="185">
        <v>2</v>
      </c>
      <c r="B44" s="262" t="s">
        <v>358</v>
      </c>
      <c r="C44" s="188">
        <f>ROUND(((9.75+2*0.4)*(8.15+0.4))*(1.2+0.3),2)</f>
        <v>135.30000000000001</v>
      </c>
      <c r="D44" s="185" t="s">
        <v>149</v>
      </c>
      <c r="E44" s="258"/>
      <c r="F44" s="182">
        <f t="shared" si="1"/>
        <v>0</v>
      </c>
      <c r="G44" s="187"/>
      <c r="H44" s="191"/>
    </row>
    <row r="45" spans="1:11" s="192" customFormat="1">
      <c r="A45" s="185">
        <v>3</v>
      </c>
      <c r="B45" s="262" t="s">
        <v>359</v>
      </c>
      <c r="C45" s="257">
        <f>ROUND(((5.75+0.2)*(14.6))*((1.2+0.2)/2+0.3),2)</f>
        <v>86.87</v>
      </c>
      <c r="D45" s="185" t="s">
        <v>149</v>
      </c>
      <c r="E45" s="258"/>
      <c r="F45" s="182">
        <f t="shared" ref="F45" si="2">ROUND(C45*E45,2)</f>
        <v>0</v>
      </c>
      <c r="G45" s="187"/>
      <c r="H45" s="191"/>
    </row>
    <row r="46" spans="1:11" s="192" customFormat="1">
      <c r="A46" s="185">
        <v>4</v>
      </c>
      <c r="B46" s="262" t="s">
        <v>360</v>
      </c>
      <c r="C46" s="188">
        <f>ROUND((4*0.7*(1.2^2)),2)</f>
        <v>4.03</v>
      </c>
      <c r="D46" s="185" t="s">
        <v>149</v>
      </c>
      <c r="E46" s="258"/>
      <c r="F46" s="182">
        <f t="shared" ref="F46:F47" si="3">ROUND(C46*E46,2)</f>
        <v>0</v>
      </c>
      <c r="G46" s="187"/>
      <c r="H46" s="191"/>
    </row>
    <row r="47" spans="1:11" s="192" customFormat="1">
      <c r="A47" s="185">
        <v>5</v>
      </c>
      <c r="B47" s="262" t="s">
        <v>361</v>
      </c>
      <c r="C47" s="188">
        <f>ROUND((4*0.7*(0.8^2)),2)</f>
        <v>1.79</v>
      </c>
      <c r="D47" s="185" t="s">
        <v>149</v>
      </c>
      <c r="E47" s="258"/>
      <c r="F47" s="182">
        <f t="shared" si="3"/>
        <v>0</v>
      </c>
      <c r="G47" s="187"/>
      <c r="H47" s="191"/>
    </row>
    <row r="48" spans="1:11" s="192" customFormat="1" ht="25.5">
      <c r="A48" s="185">
        <v>6</v>
      </c>
      <c r="B48" s="262" t="s">
        <v>362</v>
      </c>
      <c r="C48" s="188">
        <f>ROUND((2*7.95+9.35+14.6)*0.6*0.65,2)</f>
        <v>15.54</v>
      </c>
      <c r="D48" s="185" t="s">
        <v>149</v>
      </c>
      <c r="E48" s="258"/>
      <c r="F48" s="182">
        <f t="shared" ref="F48:F52" si="4">ROUND(C48*E48,2)</f>
        <v>0</v>
      </c>
      <c r="G48" s="187"/>
      <c r="H48" s="191"/>
    </row>
    <row r="49" spans="1:18" s="192" customFormat="1" ht="25.5">
      <c r="A49" s="185">
        <v>7</v>
      </c>
      <c r="B49" s="262" t="s">
        <v>363</v>
      </c>
      <c r="C49" s="188">
        <f>ROUND((3.85+3.95)*0.45*0.65,2)</f>
        <v>2.2799999999999998</v>
      </c>
      <c r="D49" s="185" t="s">
        <v>149</v>
      </c>
      <c r="E49" s="258"/>
      <c r="F49" s="182">
        <f t="shared" ref="F49" si="5">ROUND(C49*E49,2)</f>
        <v>0</v>
      </c>
      <c r="G49" s="187"/>
      <c r="H49" s="191"/>
    </row>
    <row r="50" spans="1:18" s="192" customFormat="1" ht="25.5">
      <c r="A50" s="185">
        <v>8</v>
      </c>
      <c r="B50" s="262" t="s">
        <v>364</v>
      </c>
      <c r="C50" s="188">
        <f>ROUND((17*0.8*(1.2^2-0.4^2)),2)</f>
        <v>17.41</v>
      </c>
      <c r="D50" s="185" t="s">
        <v>149</v>
      </c>
      <c r="E50" s="258"/>
      <c r="F50" s="182">
        <f t="shared" ref="F50" si="6">ROUND(C50*E50,2)</f>
        <v>0</v>
      </c>
      <c r="G50" s="187"/>
      <c r="H50" s="191"/>
    </row>
    <row r="51" spans="1:18" s="192" customFormat="1" ht="25.5">
      <c r="A51" s="185">
        <v>9</v>
      </c>
      <c r="B51" s="262" t="s">
        <v>365</v>
      </c>
      <c r="C51" s="188">
        <f>ROUND((4*0.4*(1.2^2)),2)</f>
        <v>2.2999999999999998</v>
      </c>
      <c r="D51" s="185" t="s">
        <v>149</v>
      </c>
      <c r="E51" s="258"/>
      <c r="F51" s="182">
        <f t="shared" si="4"/>
        <v>0</v>
      </c>
      <c r="G51" s="187"/>
      <c r="H51" s="191"/>
    </row>
    <row r="52" spans="1:18" s="192" customFormat="1" ht="25.5">
      <c r="A52" s="185">
        <v>10</v>
      </c>
      <c r="B52" s="262" t="s">
        <v>366</v>
      </c>
      <c r="C52" s="188">
        <f>ROUND((4*0.4*(0.8^2)),2)</f>
        <v>1.02</v>
      </c>
      <c r="D52" s="185" t="s">
        <v>149</v>
      </c>
      <c r="E52" s="258"/>
      <c r="F52" s="182">
        <f t="shared" si="4"/>
        <v>0</v>
      </c>
      <c r="G52" s="187"/>
      <c r="H52" s="191"/>
    </row>
    <row r="53" spans="1:18" s="192" customFormat="1" ht="25.5">
      <c r="A53" s="185">
        <v>11</v>
      </c>
      <c r="B53" s="262" t="s">
        <v>367</v>
      </c>
      <c r="C53" s="188">
        <f>ROUND((2*7.95+9.35+14.6)*0.6*0.4,2)</f>
        <v>9.56</v>
      </c>
      <c r="D53" s="185" t="s">
        <v>149</v>
      </c>
      <c r="E53" s="258"/>
      <c r="F53" s="182">
        <f t="shared" ref="F53:F55" si="7">ROUND(C53*E53,2)</f>
        <v>0</v>
      </c>
      <c r="G53" s="187"/>
      <c r="H53" s="191"/>
    </row>
    <row r="54" spans="1:18" s="192" customFormat="1" ht="25.5">
      <c r="A54" s="185">
        <v>12</v>
      </c>
      <c r="B54" s="262" t="s">
        <v>368</v>
      </c>
      <c r="C54" s="188">
        <f>ROUND((3.85+3.95)*0.45*0.4,2)</f>
        <v>1.4</v>
      </c>
      <c r="D54" s="185" t="s">
        <v>149</v>
      </c>
      <c r="E54" s="258"/>
      <c r="F54" s="182">
        <f t="shared" ref="F54" si="8">ROUND(C54*E54,2)</f>
        <v>0</v>
      </c>
      <c r="G54" s="187"/>
      <c r="H54" s="191"/>
    </row>
    <row r="55" spans="1:18" s="192" customFormat="1">
      <c r="A55" s="185">
        <v>13</v>
      </c>
      <c r="B55" s="183" t="s">
        <v>288</v>
      </c>
      <c r="C55" s="188">
        <f>ROUND(((14.6+3.85)*0.3+155+9.75*4)*0.3,2)</f>
        <v>59.86</v>
      </c>
      <c r="D55" s="251" t="s">
        <v>224</v>
      </c>
      <c r="E55" s="258"/>
      <c r="F55" s="182">
        <f t="shared" si="7"/>
        <v>0</v>
      </c>
      <c r="G55" s="187"/>
      <c r="H55" s="191"/>
    </row>
    <row r="56" spans="1:18" s="192" customFormat="1" ht="25.5">
      <c r="A56" s="185">
        <v>14</v>
      </c>
      <c r="B56" s="262" t="s">
        <v>369</v>
      </c>
      <c r="C56" s="188">
        <f>ROUND((SUM(C43:C49)-SUM(C50:C54))*1.3,2)</f>
        <v>300.99</v>
      </c>
      <c r="D56" s="185" t="s">
        <v>168</v>
      </c>
      <c r="E56" s="182"/>
      <c r="F56" s="182">
        <f t="shared" ref="F56:F143" si="9">ROUND(C56*E56,2)</f>
        <v>0</v>
      </c>
      <c r="G56" s="187">
        <f>SUM(F43:F56)</f>
        <v>0</v>
      </c>
      <c r="H56" s="191"/>
    </row>
    <row r="57" spans="1:18" s="173" customFormat="1">
      <c r="A57" s="168"/>
      <c r="B57" s="242"/>
      <c r="C57" s="170"/>
      <c r="D57" s="168"/>
      <c r="E57" s="169"/>
      <c r="F57" s="182"/>
      <c r="G57" s="169"/>
      <c r="H57" s="172"/>
    </row>
    <row r="58" spans="1:18" s="192" customFormat="1">
      <c r="A58" s="184" t="s">
        <v>108</v>
      </c>
      <c r="B58" s="186" t="s">
        <v>225</v>
      </c>
      <c r="C58" s="181"/>
      <c r="D58" s="252"/>
      <c r="E58" s="182"/>
      <c r="F58" s="182"/>
      <c r="G58" s="186"/>
      <c r="H58" s="191"/>
    </row>
    <row r="59" spans="1:18" s="192" customFormat="1" ht="25.5">
      <c r="A59" s="193">
        <v>1</v>
      </c>
      <c r="B59" s="262" t="s">
        <v>405</v>
      </c>
      <c r="C59" s="188">
        <f>ROUND((30.6*36.7-3.85*11.9),2)</f>
        <v>1077.21</v>
      </c>
      <c r="D59" s="251" t="s">
        <v>87</v>
      </c>
      <c r="E59" s="182"/>
      <c r="F59" s="182">
        <f t="shared" si="9"/>
        <v>0</v>
      </c>
      <c r="G59" s="187"/>
      <c r="H59" s="191"/>
    </row>
    <row r="60" spans="1:18" s="192" customFormat="1" ht="25.5">
      <c r="A60" s="193">
        <v>2</v>
      </c>
      <c r="B60" s="262" t="s">
        <v>406</v>
      </c>
      <c r="C60" s="188">
        <f>ROUND((14.6+3.85)*0.3+155+9.75*4,2)</f>
        <v>199.54</v>
      </c>
      <c r="D60" s="251" t="s">
        <v>87</v>
      </c>
      <c r="E60" s="182"/>
      <c r="F60" s="182">
        <f t="shared" ref="F60" si="10">ROUND(C60*E60,2)</f>
        <v>0</v>
      </c>
      <c r="G60" s="187"/>
      <c r="H60" s="191"/>
    </row>
    <row r="61" spans="1:18" s="192" customFormat="1" ht="25.5">
      <c r="A61" s="193">
        <v>3</v>
      </c>
      <c r="B61" s="262" t="s">
        <v>334</v>
      </c>
      <c r="C61" s="188">
        <f>ROUND(((17*(0.8+0.15+0.3)+4*(1.3+0.15+0.3)*(0.4^2))),2)</f>
        <v>22.37</v>
      </c>
      <c r="D61" s="251" t="s">
        <v>149</v>
      </c>
      <c r="E61" s="182"/>
      <c r="F61" s="182">
        <f t="shared" si="9"/>
        <v>0</v>
      </c>
      <c r="G61" s="187"/>
      <c r="H61" s="191"/>
    </row>
    <row r="62" spans="1:18" s="192" customFormat="1" ht="25.5">
      <c r="A62" s="193">
        <v>4</v>
      </c>
      <c r="B62" s="262" t="s">
        <v>330</v>
      </c>
      <c r="C62" s="188">
        <f>ROUND((4*0.3*(1.2^2)),2)</f>
        <v>1.73</v>
      </c>
      <c r="D62" s="251" t="s">
        <v>149</v>
      </c>
      <c r="E62" s="182"/>
      <c r="F62" s="182">
        <f t="shared" ref="F62" si="11">ROUND(C62*E62,2)</f>
        <v>0</v>
      </c>
      <c r="G62" s="187"/>
      <c r="H62" s="191"/>
      <c r="P62" s="190" t="s">
        <v>248</v>
      </c>
    </row>
    <row r="63" spans="1:18" s="192" customFormat="1" ht="25.5">
      <c r="A63" s="193">
        <v>5</v>
      </c>
      <c r="B63" s="183" t="s">
        <v>331</v>
      </c>
      <c r="C63" s="188">
        <f>ROUND((4*0.3*(0.8^2)),2)</f>
        <v>0.77</v>
      </c>
      <c r="D63" s="251" t="s">
        <v>149</v>
      </c>
      <c r="E63" s="182"/>
      <c r="F63" s="182">
        <f t="shared" ref="F63:F64" si="12">ROUND(C63*E63,2)</f>
        <v>0</v>
      </c>
      <c r="G63" s="187"/>
      <c r="H63" s="191"/>
      <c r="R63" s="190"/>
    </row>
    <row r="64" spans="1:18" s="192" customFormat="1" ht="25.5">
      <c r="A64" s="193">
        <v>6</v>
      </c>
      <c r="B64" s="183" t="s">
        <v>332</v>
      </c>
      <c r="C64" s="188">
        <f>ROUND((2*7.95+9.35)*0.25*0.6,2)</f>
        <v>3.79</v>
      </c>
      <c r="D64" s="251" t="s">
        <v>149</v>
      </c>
      <c r="E64" s="182"/>
      <c r="F64" s="182">
        <f t="shared" si="12"/>
        <v>0</v>
      </c>
      <c r="G64" s="187"/>
      <c r="H64" s="191"/>
    </row>
    <row r="65" spans="1:8" s="192" customFormat="1" ht="25.5">
      <c r="A65" s="193">
        <v>7</v>
      </c>
      <c r="B65" s="183" t="s">
        <v>333</v>
      </c>
      <c r="C65" s="257">
        <f>ROUND((3.85+3.95)*0.45*0.25,2)</f>
        <v>0.88</v>
      </c>
      <c r="D65" s="251" t="s">
        <v>149</v>
      </c>
      <c r="E65" s="182"/>
      <c r="F65" s="182">
        <f t="shared" ref="F65" si="13">ROUND(C65*E65,2)</f>
        <v>0</v>
      </c>
      <c r="G65" s="187"/>
      <c r="H65" s="191"/>
    </row>
    <row r="66" spans="1:8" s="192" customFormat="1" ht="25.5">
      <c r="A66" s="193">
        <v>8</v>
      </c>
      <c r="B66" s="183" t="s">
        <v>339</v>
      </c>
      <c r="C66" s="188">
        <f>ROUND(2*(1.3+4.8+0.5+4.8)*0.2*0.2,2)</f>
        <v>0.91</v>
      </c>
      <c r="D66" s="251" t="s">
        <v>149</v>
      </c>
      <c r="E66" s="182"/>
      <c r="F66" s="182">
        <f t="shared" ref="F66" si="14">ROUND(C66*E66,2)</f>
        <v>0</v>
      </c>
      <c r="G66" s="187"/>
      <c r="H66" s="191"/>
    </row>
    <row r="67" spans="1:8" s="192" customFormat="1" ht="25.5">
      <c r="A67" s="193">
        <v>9</v>
      </c>
      <c r="B67" s="183" t="s">
        <v>340</v>
      </c>
      <c r="C67" s="188">
        <f>ROUND((2*7.95+9.35+2*14.6)*0.2*0.2,2)</f>
        <v>2.1800000000000002</v>
      </c>
      <c r="D67" s="251" t="s">
        <v>149</v>
      </c>
      <c r="E67" s="182"/>
      <c r="F67" s="182">
        <f t="shared" ref="F67:F68" si="15">ROUND(C67*E67,2)</f>
        <v>0</v>
      </c>
      <c r="G67" s="187"/>
      <c r="H67" s="191"/>
    </row>
    <row r="68" spans="1:8" s="192" customFormat="1" ht="25.5">
      <c r="A68" s="193">
        <v>10</v>
      </c>
      <c r="B68" s="183" t="s">
        <v>341</v>
      </c>
      <c r="C68" s="188">
        <f>ROUND(2*(2*6.1+3.85+6.3)*0.2*0.2,2)</f>
        <v>1.79</v>
      </c>
      <c r="D68" s="251" t="s">
        <v>149</v>
      </c>
      <c r="E68" s="182"/>
      <c r="F68" s="182">
        <f t="shared" si="15"/>
        <v>0</v>
      </c>
      <c r="G68" s="187"/>
      <c r="H68" s="191"/>
    </row>
    <row r="69" spans="1:8" s="192" customFormat="1" ht="25.5">
      <c r="A69" s="193">
        <v>11</v>
      </c>
      <c r="B69" s="183" t="s">
        <v>342</v>
      </c>
      <c r="C69" s="188">
        <f>ROUND(2*(2*3.95+3.85+6.3)*0.15*0.2,2)</f>
        <v>1.08</v>
      </c>
      <c r="D69" s="251" t="s">
        <v>149</v>
      </c>
      <c r="E69" s="171"/>
      <c r="F69" s="182">
        <f t="shared" ref="F69" si="16">ROUND(C69*E69,2)</f>
        <v>0</v>
      </c>
      <c r="G69" s="187">
        <f>SUM(F59:F69)</f>
        <v>0</v>
      </c>
      <c r="H69" s="191"/>
    </row>
    <row r="70" spans="1:8" s="192" customFormat="1">
      <c r="A70" s="193"/>
      <c r="B70" s="183"/>
      <c r="C70" s="188"/>
      <c r="D70" s="251"/>
      <c r="E70" s="171"/>
      <c r="F70" s="182"/>
      <c r="G70" s="187"/>
      <c r="H70" s="191"/>
    </row>
    <row r="71" spans="1:8" s="173" customFormat="1">
      <c r="A71" s="184" t="s">
        <v>109</v>
      </c>
      <c r="B71" s="186" t="s">
        <v>177</v>
      </c>
      <c r="C71" s="181"/>
      <c r="D71" s="251"/>
      <c r="E71" s="169"/>
      <c r="F71" s="182"/>
      <c r="G71" s="169"/>
      <c r="H71" s="172"/>
    </row>
    <row r="72" spans="1:8" s="173" customFormat="1" ht="25.5">
      <c r="A72" s="193">
        <v>1</v>
      </c>
      <c r="B72" s="183" t="s">
        <v>250</v>
      </c>
      <c r="C72" s="188">
        <f>ROUND((2.3*1.7),2)</f>
        <v>3.91</v>
      </c>
      <c r="D72" s="251" t="s">
        <v>87</v>
      </c>
      <c r="E72" s="188"/>
      <c r="F72" s="182">
        <f t="shared" si="9"/>
        <v>0</v>
      </c>
      <c r="G72" s="187"/>
      <c r="H72" s="172"/>
    </row>
    <row r="73" spans="1:8" s="173" customFormat="1" ht="25.5">
      <c r="A73" s="193">
        <v>2</v>
      </c>
      <c r="B73" s="183" t="s">
        <v>251</v>
      </c>
      <c r="C73" s="188">
        <f>ROUND(((2*6.1+3.85)*4.4-(3.75*2.7)-(2.3*1.1)*7),2)</f>
        <v>42.79</v>
      </c>
      <c r="D73" s="251" t="s">
        <v>87</v>
      </c>
      <c r="E73" s="188"/>
      <c r="F73" s="182">
        <f t="shared" ref="F73" si="17">ROUND(C73*E73,2)</f>
        <v>0</v>
      </c>
      <c r="G73" s="187"/>
      <c r="H73" s="172"/>
    </row>
    <row r="74" spans="1:8" s="173" customFormat="1" ht="25.5">
      <c r="A74" s="193">
        <v>3</v>
      </c>
      <c r="B74" s="183" t="s">
        <v>252</v>
      </c>
      <c r="C74" s="188">
        <f>ROUND((3.95+3.85)*0.4,2)</f>
        <v>3.12</v>
      </c>
      <c r="D74" s="251" t="s">
        <v>87</v>
      </c>
      <c r="E74" s="188"/>
      <c r="F74" s="182">
        <f t="shared" ref="F74" si="18">ROUND(C74*E74,2)</f>
        <v>0</v>
      </c>
      <c r="G74" s="187"/>
      <c r="H74" s="172"/>
    </row>
    <row r="75" spans="1:8" s="173" customFormat="1" ht="25.5">
      <c r="A75" s="193">
        <v>4</v>
      </c>
      <c r="B75" s="183" t="s">
        <v>253</v>
      </c>
      <c r="C75" s="188">
        <f>ROUND((2*7.95+9.35)*1.4,2)</f>
        <v>35.35</v>
      </c>
      <c r="D75" s="251" t="s">
        <v>87</v>
      </c>
      <c r="E75" s="188"/>
      <c r="F75" s="182">
        <f t="shared" ref="F75" si="19">ROUND(C75*E75,2)</f>
        <v>0</v>
      </c>
      <c r="G75" s="187">
        <f>SUM(F72:F75)</f>
        <v>0</v>
      </c>
      <c r="H75" s="172"/>
    </row>
    <row r="76" spans="1:8" s="173" customFormat="1">
      <c r="A76" s="193"/>
      <c r="B76" s="183"/>
      <c r="C76" s="188"/>
      <c r="D76" s="251"/>
      <c r="E76" s="188"/>
      <c r="F76" s="182"/>
      <c r="G76" s="187"/>
      <c r="H76" s="172"/>
    </row>
    <row r="77" spans="1:8" s="173" customFormat="1">
      <c r="A77" s="184" t="s">
        <v>110</v>
      </c>
      <c r="B77" s="186" t="s">
        <v>152</v>
      </c>
      <c r="C77" s="181"/>
      <c r="D77" s="251"/>
      <c r="E77" s="169"/>
      <c r="F77" s="182"/>
      <c r="G77" s="169"/>
      <c r="H77" s="172"/>
    </row>
    <row r="78" spans="1:8" s="173" customFormat="1">
      <c r="A78" s="193">
        <v>1</v>
      </c>
      <c r="B78" s="183" t="s">
        <v>195</v>
      </c>
      <c r="C78" s="257">
        <f>ROUND((I36-J36-K36),2)</f>
        <v>487.94</v>
      </c>
      <c r="D78" s="251" t="s">
        <v>87</v>
      </c>
      <c r="E78" s="182"/>
      <c r="F78" s="182">
        <f t="shared" si="9"/>
        <v>0</v>
      </c>
      <c r="G78" s="169"/>
      <c r="H78" s="172"/>
    </row>
    <row r="79" spans="1:8" s="173" customFormat="1">
      <c r="A79" s="193">
        <v>2</v>
      </c>
      <c r="B79" s="183" t="s">
        <v>199</v>
      </c>
      <c r="C79" s="188">
        <f>ROUND(C78*0.3,2)</f>
        <v>146.38</v>
      </c>
      <c r="D79" s="251" t="s">
        <v>87</v>
      </c>
      <c r="E79" s="182"/>
      <c r="F79" s="182">
        <f t="shared" si="9"/>
        <v>0</v>
      </c>
      <c r="G79" s="169"/>
      <c r="H79" s="172"/>
    </row>
    <row r="80" spans="1:8" s="173" customFormat="1">
      <c r="A80" s="193">
        <v>3</v>
      </c>
      <c r="B80" s="183" t="s">
        <v>256</v>
      </c>
      <c r="C80" s="188">
        <f>ROUND(2*14.6*0.6+(9.35+2*7.95)*1.2,2)</f>
        <v>47.82</v>
      </c>
      <c r="D80" s="251" t="s">
        <v>87</v>
      </c>
      <c r="E80" s="182"/>
      <c r="F80" s="182">
        <f t="shared" ref="F80" si="20">ROUND(C80*E80,2)</f>
        <v>0</v>
      </c>
      <c r="G80" s="169"/>
      <c r="H80" s="172"/>
    </row>
    <row r="81" spans="1:11" s="173" customFormat="1">
      <c r="A81" s="193">
        <v>4</v>
      </c>
      <c r="B81" s="183" t="s">
        <v>255</v>
      </c>
      <c r="C81" s="188">
        <f>ROUND(2*14.6*0.6+(9.35+2*7.95)*1.2,2)</f>
        <v>47.82</v>
      </c>
      <c r="D81" s="251" t="s">
        <v>87</v>
      </c>
      <c r="E81" s="182"/>
      <c r="F81" s="182">
        <f t="shared" ref="F81" si="21">ROUND(C81*E81,2)</f>
        <v>0</v>
      </c>
      <c r="G81" s="169"/>
      <c r="H81" s="172"/>
    </row>
    <row r="82" spans="1:11" s="173" customFormat="1">
      <c r="A82" s="193">
        <v>5</v>
      </c>
      <c r="B82" s="183" t="s">
        <v>189</v>
      </c>
      <c r="C82" s="188">
        <f>ROUND(C78,2)</f>
        <v>487.94</v>
      </c>
      <c r="D82" s="251" t="s">
        <v>87</v>
      </c>
      <c r="E82" s="182"/>
      <c r="F82" s="182">
        <f t="shared" si="9"/>
        <v>0</v>
      </c>
      <c r="G82" s="169"/>
      <c r="H82" s="172"/>
    </row>
    <row r="83" spans="1:11" s="173" customFormat="1">
      <c r="A83" s="193">
        <v>6</v>
      </c>
      <c r="B83" s="183" t="s">
        <v>190</v>
      </c>
      <c r="C83" s="188">
        <f>ROUND(C79,2)</f>
        <v>146.38</v>
      </c>
      <c r="D83" s="251" t="s">
        <v>87</v>
      </c>
      <c r="E83" s="182"/>
      <c r="F83" s="182">
        <f t="shared" si="9"/>
        <v>0</v>
      </c>
      <c r="G83" s="169"/>
      <c r="H83" s="172"/>
      <c r="I83" s="260" t="s">
        <v>249</v>
      </c>
      <c r="J83" s="260" t="s">
        <v>110</v>
      </c>
    </row>
    <row r="84" spans="1:11" s="173" customFormat="1">
      <c r="A84" s="193">
        <v>7</v>
      </c>
      <c r="B84" s="183" t="s">
        <v>196</v>
      </c>
      <c r="C84" s="257">
        <f>ROUND(I84+J84,2)</f>
        <v>433.6</v>
      </c>
      <c r="D84" s="251" t="s">
        <v>174</v>
      </c>
      <c r="E84" s="182"/>
      <c r="F84" s="182">
        <f t="shared" si="9"/>
        <v>0</v>
      </c>
      <c r="G84" s="169"/>
      <c r="H84" s="172"/>
      <c r="I84" s="261">
        <f>0*(3*2+3)+((0.9+2*2.1)*8)+((1.8+2*2.5)*6)</f>
        <v>81.599999999999994</v>
      </c>
      <c r="J84" s="261">
        <f>(1+0+0+0)*(1.1+1.2)*2+(7+0+0+6)*(0.6+2.3)*2+(0+14+14+12)*(2.3+1.1)*2</f>
        <v>352</v>
      </c>
    </row>
    <row r="85" spans="1:11" s="173" customFormat="1">
      <c r="A85" s="193">
        <v>8</v>
      </c>
      <c r="B85" s="183" t="s">
        <v>197</v>
      </c>
      <c r="C85" s="188">
        <f>ROUND(I85+J85,2)</f>
        <v>515.20000000000005</v>
      </c>
      <c r="D85" s="251" t="s">
        <v>174</v>
      </c>
      <c r="E85" s="182"/>
      <c r="F85" s="182">
        <f t="shared" si="9"/>
        <v>0</v>
      </c>
      <c r="G85" s="187"/>
      <c r="H85" s="172"/>
      <c r="I85" s="261">
        <f>0*(3*4*3*2)+((0.9*2+4*2.1)*8)+((1.8*2+4*2.5)*6)</f>
        <v>163.19999999999999</v>
      </c>
      <c r="J85" s="261">
        <f>(1+0+0+0)*(1.1+1.2)*2+(7+0+0+6)*(0.6+2.3)*2+(0+14+14+12)*(2.3+1.1)*2</f>
        <v>352</v>
      </c>
    </row>
    <row r="86" spans="1:11" s="173" customFormat="1">
      <c r="A86" s="193">
        <v>9</v>
      </c>
      <c r="B86" s="183" t="s">
        <v>257</v>
      </c>
      <c r="C86" s="257">
        <f>ROUND((2*14.6+7.95),2)</f>
        <v>37.15</v>
      </c>
      <c r="D86" s="251" t="s">
        <v>174</v>
      </c>
      <c r="E86" s="182"/>
      <c r="F86" s="182">
        <f t="shared" ref="F86:F87" si="22">ROUND(C86*E86,2)</f>
        <v>0</v>
      </c>
      <c r="G86" s="169"/>
      <c r="H86" s="172"/>
      <c r="I86" s="261"/>
      <c r="J86" s="261"/>
    </row>
    <row r="87" spans="1:11" s="173" customFormat="1">
      <c r="A87" s="193">
        <v>10</v>
      </c>
      <c r="B87" s="183" t="s">
        <v>258</v>
      </c>
      <c r="C87" s="257">
        <f>ROUND(C86*2+9.35,2)</f>
        <v>83.65</v>
      </c>
      <c r="D87" s="251" t="s">
        <v>174</v>
      </c>
      <c r="E87" s="182"/>
      <c r="F87" s="182">
        <f t="shared" si="22"/>
        <v>0</v>
      </c>
      <c r="G87" s="187">
        <f>SUM(F78:F87)</f>
        <v>0</v>
      </c>
      <c r="H87" s="172"/>
      <c r="I87" s="261"/>
      <c r="J87" s="261"/>
    </row>
    <row r="88" spans="1:11" s="173" customFormat="1">
      <c r="A88" s="169"/>
      <c r="B88" s="183"/>
      <c r="C88" s="188"/>
      <c r="D88" s="251"/>
      <c r="E88" s="169"/>
      <c r="F88" s="182"/>
      <c r="G88" s="169"/>
      <c r="H88" s="172"/>
    </row>
    <row r="89" spans="1:11" s="173" customFormat="1">
      <c r="A89" s="194" t="s">
        <v>111</v>
      </c>
      <c r="B89" s="186" t="s">
        <v>120</v>
      </c>
      <c r="C89" s="176"/>
      <c r="D89" s="250"/>
      <c r="E89" s="169"/>
      <c r="F89" s="182"/>
      <c r="G89" s="169"/>
      <c r="H89" s="172"/>
    </row>
    <row r="90" spans="1:11" s="192" customFormat="1">
      <c r="A90" s="193">
        <v>1</v>
      </c>
      <c r="B90" s="183" t="s">
        <v>133</v>
      </c>
      <c r="C90" s="188">
        <f>ROUND((I90-J90-K90),2)</f>
        <v>487.94</v>
      </c>
      <c r="D90" s="251" t="s">
        <v>87</v>
      </c>
      <c r="E90" s="182"/>
      <c r="F90" s="182">
        <f t="shared" si="9"/>
        <v>0</v>
      </c>
      <c r="G90" s="186"/>
      <c r="H90" s="191"/>
      <c r="I90" s="192">
        <f>((30.6*2)+(36.7*2))*4.8+((30.6*2.2)/2*2)-((6.1*2+3.85)*4.8-(3*3+2.3*0.6+2*0.9*2.1))</f>
        <v>650.5200000000001</v>
      </c>
      <c r="J90" s="192">
        <f>0*(3*3)+(0.9*2.1*8)+(1.8*2.5*6)</f>
        <v>42.120000000000005</v>
      </c>
      <c r="K90" s="192">
        <f>(1.1*1.2)+(7+0+0+6)*(0.6*2.3)+(0+14+14+12)*(2.3*1.1)</f>
        <v>120.45999999999998</v>
      </c>
    </row>
    <row r="91" spans="1:11" s="192" customFormat="1">
      <c r="A91" s="193">
        <v>2</v>
      </c>
      <c r="B91" s="183" t="s">
        <v>134</v>
      </c>
      <c r="C91" s="188">
        <f>ROUND(C90,2)</f>
        <v>487.94</v>
      </c>
      <c r="D91" s="251" t="s">
        <v>87</v>
      </c>
      <c r="E91" s="182"/>
      <c r="F91" s="182">
        <f t="shared" si="9"/>
        <v>0</v>
      </c>
      <c r="G91" s="186"/>
      <c r="H91" s="191"/>
    </row>
    <row r="92" spans="1:11" s="192" customFormat="1">
      <c r="A92" s="193">
        <v>3</v>
      </c>
      <c r="B92" s="183" t="s">
        <v>259</v>
      </c>
      <c r="C92" s="188">
        <f>ROUND(C80,2)</f>
        <v>47.82</v>
      </c>
      <c r="D92" s="251" t="s">
        <v>87</v>
      </c>
      <c r="E92" s="182"/>
      <c r="F92" s="182">
        <f t="shared" ref="F92" si="23">ROUND(C92*E92,2)</f>
        <v>0</v>
      </c>
      <c r="G92" s="187">
        <f>SUM(F90:F92)</f>
        <v>0</v>
      </c>
      <c r="H92" s="191"/>
    </row>
    <row r="93" spans="1:11" s="173" customFormat="1">
      <c r="A93" s="169"/>
      <c r="B93" s="183"/>
      <c r="C93" s="188"/>
      <c r="D93" s="251"/>
      <c r="E93" s="169"/>
      <c r="F93" s="182"/>
      <c r="G93" s="169"/>
      <c r="H93" s="172"/>
    </row>
    <row r="94" spans="1:11" s="192" customFormat="1">
      <c r="A94" s="194" t="s">
        <v>119</v>
      </c>
      <c r="B94" s="186" t="s">
        <v>138</v>
      </c>
      <c r="C94" s="176"/>
      <c r="D94" s="250"/>
      <c r="E94" s="169"/>
      <c r="F94" s="182"/>
      <c r="G94" s="169"/>
      <c r="H94" s="172"/>
      <c r="I94" s="173"/>
      <c r="J94" s="173"/>
      <c r="K94" s="173"/>
    </row>
    <row r="95" spans="1:11" s="192" customFormat="1">
      <c r="A95" s="193">
        <v>1</v>
      </c>
      <c r="B95" s="183" t="s">
        <v>153</v>
      </c>
      <c r="C95" s="181">
        <v>3</v>
      </c>
      <c r="D95" s="251" t="s">
        <v>117</v>
      </c>
      <c r="E95" s="182"/>
      <c r="F95" s="182">
        <f t="shared" si="9"/>
        <v>0</v>
      </c>
      <c r="G95" s="187"/>
      <c r="H95" s="191"/>
    </row>
    <row r="96" spans="1:11" s="192" customFormat="1">
      <c r="A96" s="193">
        <v>2</v>
      </c>
      <c r="B96" s="262" t="s">
        <v>371</v>
      </c>
      <c r="C96" s="181">
        <f>ROUND((1.8*2.5*4),2)</f>
        <v>18</v>
      </c>
      <c r="D96" s="251" t="s">
        <v>87</v>
      </c>
      <c r="E96" s="181"/>
      <c r="F96" s="182">
        <f t="shared" si="9"/>
        <v>0</v>
      </c>
      <c r="G96" s="187"/>
      <c r="H96" s="191"/>
    </row>
    <row r="97" spans="1:12" s="192" customFormat="1">
      <c r="A97" s="193">
        <v>3</v>
      </c>
      <c r="B97" s="262" t="s">
        <v>372</v>
      </c>
      <c r="C97" s="181">
        <f>ROUND((3*3),2)</f>
        <v>9</v>
      </c>
      <c r="D97" s="251" t="s">
        <v>87</v>
      </c>
      <c r="E97" s="182"/>
      <c r="F97" s="182">
        <f t="shared" si="9"/>
        <v>0</v>
      </c>
      <c r="G97" s="187"/>
      <c r="H97" s="191"/>
    </row>
    <row r="98" spans="1:12" s="173" customFormat="1">
      <c r="A98" s="193">
        <v>4</v>
      </c>
      <c r="B98" s="262" t="s">
        <v>373</v>
      </c>
      <c r="C98" s="181">
        <f>ROUND((4*3),2)</f>
        <v>12</v>
      </c>
      <c r="D98" s="251" t="s">
        <v>87</v>
      </c>
      <c r="E98" s="182"/>
      <c r="F98" s="182">
        <f t="shared" ref="F98" si="24">ROUND(C98*E98,2)</f>
        <v>0</v>
      </c>
      <c r="G98" s="187">
        <f>SUM(F95:F98)</f>
        <v>0</v>
      </c>
      <c r="H98" s="191"/>
      <c r="I98" s="192"/>
      <c r="J98" s="192"/>
      <c r="K98" s="192"/>
    </row>
    <row r="99" spans="1:12" s="192" customFormat="1">
      <c r="A99" s="169"/>
      <c r="B99" s="183"/>
      <c r="C99" s="188"/>
      <c r="D99" s="251"/>
      <c r="E99" s="169"/>
      <c r="F99" s="182"/>
      <c r="G99" s="169"/>
      <c r="H99" s="172"/>
      <c r="I99" s="173"/>
      <c r="J99" s="173"/>
      <c r="K99" s="173"/>
    </row>
    <row r="100" spans="1:12" s="192" customFormat="1">
      <c r="A100" s="194" t="s">
        <v>121</v>
      </c>
      <c r="B100" s="186" t="s">
        <v>123</v>
      </c>
      <c r="C100" s="181"/>
      <c r="D100" s="251"/>
      <c r="E100" s="182"/>
      <c r="F100" s="182"/>
      <c r="G100" s="186"/>
      <c r="H100" s="191"/>
    </row>
    <row r="101" spans="1:12" s="173" customFormat="1" ht="25.5">
      <c r="A101" s="193">
        <v>1</v>
      </c>
      <c r="B101" s="262" t="s">
        <v>374</v>
      </c>
      <c r="C101" s="276">
        <f>ROUND((7+0+0+6)*(0.6*2.3)+(0+14+14+12)*(2.3*1.1),2)</f>
        <v>119.14</v>
      </c>
      <c r="D101" s="251" t="s">
        <v>87</v>
      </c>
      <c r="E101" s="182"/>
      <c r="F101" s="182">
        <f t="shared" ref="F101" si="25">ROUND(C101*E101,2)</f>
        <v>0</v>
      </c>
      <c r="G101" s="187"/>
      <c r="H101" s="191"/>
      <c r="I101" s="192"/>
      <c r="J101" s="192"/>
      <c r="K101" s="192"/>
    </row>
    <row r="102" spans="1:12" s="173" customFormat="1">
      <c r="A102" s="193">
        <v>2</v>
      </c>
      <c r="B102" s="262" t="s">
        <v>343</v>
      </c>
      <c r="C102" s="276">
        <f>ROUND(1.1*1.2,2)</f>
        <v>1.32</v>
      </c>
      <c r="D102" s="251" t="s">
        <v>87</v>
      </c>
      <c r="E102" s="258"/>
      <c r="F102" s="182">
        <f t="shared" si="9"/>
        <v>0</v>
      </c>
      <c r="G102" s="187">
        <f>SUM(F101:F102)</f>
        <v>0</v>
      </c>
      <c r="H102" s="191"/>
      <c r="I102" s="192"/>
      <c r="J102" s="192"/>
      <c r="K102" s="192"/>
    </row>
    <row r="103" spans="1:12" s="241" customFormat="1">
      <c r="A103" s="177"/>
      <c r="B103" s="178"/>
      <c r="C103" s="176"/>
      <c r="D103" s="250"/>
      <c r="E103" s="169"/>
      <c r="F103" s="182"/>
      <c r="G103" s="169"/>
      <c r="H103" s="172"/>
      <c r="I103" s="173"/>
      <c r="J103" s="173"/>
      <c r="K103" s="173"/>
      <c r="L103" s="192"/>
    </row>
    <row r="104" spans="1:12" s="192" customFormat="1">
      <c r="A104" s="194" t="s">
        <v>159</v>
      </c>
      <c r="B104" s="186" t="s">
        <v>200</v>
      </c>
      <c r="C104" s="176"/>
      <c r="D104" s="250"/>
      <c r="E104" s="169"/>
      <c r="F104" s="182"/>
      <c r="G104" s="169"/>
      <c r="H104" s="173"/>
      <c r="I104" s="173"/>
      <c r="J104" s="173"/>
      <c r="K104" s="173"/>
    </row>
    <row r="105" spans="1:12" s="248" customFormat="1" ht="38.25">
      <c r="A105" s="185">
        <v>1</v>
      </c>
      <c r="B105" s="262" t="s">
        <v>309</v>
      </c>
      <c r="C105" s="257">
        <v>6</v>
      </c>
      <c r="D105" s="271" t="s">
        <v>117</v>
      </c>
      <c r="E105" s="258"/>
      <c r="F105" s="182">
        <f t="shared" ref="F105:F121" si="26">ROUND(C105*E105,2)</f>
        <v>0</v>
      </c>
      <c r="G105" s="190"/>
      <c r="H105" s="192"/>
      <c r="I105" s="192"/>
      <c r="J105" s="192"/>
      <c r="K105" s="192"/>
      <c r="L105" s="192"/>
    </row>
    <row r="106" spans="1:12" s="248" customFormat="1" ht="38.25">
      <c r="A106" s="185">
        <v>2</v>
      </c>
      <c r="B106" s="262" t="s">
        <v>287</v>
      </c>
      <c r="C106" s="257">
        <v>15</v>
      </c>
      <c r="D106" s="271" t="s">
        <v>117</v>
      </c>
      <c r="E106" s="258"/>
      <c r="F106" s="182">
        <f t="shared" si="26"/>
        <v>0</v>
      </c>
      <c r="G106" s="187"/>
      <c r="H106" s="192"/>
      <c r="I106" s="192"/>
      <c r="J106" s="192"/>
      <c r="K106" s="192"/>
      <c r="L106" s="192"/>
    </row>
    <row r="107" spans="1:12" s="248" customFormat="1" ht="38.25">
      <c r="A107" s="185">
        <v>3</v>
      </c>
      <c r="B107" s="262" t="s">
        <v>310</v>
      </c>
      <c r="C107" s="257">
        <v>19</v>
      </c>
      <c r="D107" s="271" t="s">
        <v>117</v>
      </c>
      <c r="E107" s="258"/>
      <c r="F107" s="182">
        <f t="shared" ref="F107" si="27">ROUND(C107*E107,2)</f>
        <v>0</v>
      </c>
      <c r="G107" s="187"/>
      <c r="H107" s="192"/>
      <c r="I107" s="192"/>
      <c r="J107" s="192"/>
      <c r="K107" s="192"/>
      <c r="L107" s="192"/>
    </row>
    <row r="108" spans="1:12" s="248" customFormat="1" ht="38.25">
      <c r="A108" s="185">
        <v>4</v>
      </c>
      <c r="B108" s="262" t="s">
        <v>311</v>
      </c>
      <c r="C108" s="257">
        <v>1</v>
      </c>
      <c r="D108" s="271" t="s">
        <v>117</v>
      </c>
      <c r="E108" s="258"/>
      <c r="F108" s="182">
        <f t="shared" si="26"/>
        <v>0</v>
      </c>
      <c r="G108" s="187"/>
      <c r="H108" s="192"/>
      <c r="I108" s="192"/>
      <c r="J108" s="192"/>
      <c r="K108" s="192"/>
      <c r="L108" s="192"/>
    </row>
    <row r="109" spans="1:12" s="248" customFormat="1" ht="51">
      <c r="A109" s="185">
        <v>5</v>
      </c>
      <c r="B109" s="262" t="s">
        <v>312</v>
      </c>
      <c r="C109" s="257">
        <f>ROUND(20*6,2)</f>
        <v>120</v>
      </c>
      <c r="D109" s="271" t="s">
        <v>150</v>
      </c>
      <c r="E109" s="258"/>
      <c r="F109" s="182">
        <f t="shared" si="26"/>
        <v>0</v>
      </c>
      <c r="G109" s="187"/>
      <c r="H109" s="192"/>
      <c r="I109" s="192"/>
      <c r="J109" s="192"/>
      <c r="K109" s="192"/>
      <c r="L109" s="192"/>
    </row>
    <row r="110" spans="1:12" s="248" customFormat="1" ht="51">
      <c r="A110" s="185">
        <v>6</v>
      </c>
      <c r="B110" s="288" t="s">
        <v>409</v>
      </c>
      <c r="C110" s="257">
        <f>ROUND(14*14,2)</f>
        <v>196</v>
      </c>
      <c r="D110" s="271" t="s">
        <v>150</v>
      </c>
      <c r="E110" s="258"/>
      <c r="F110" s="182">
        <f t="shared" si="26"/>
        <v>0</v>
      </c>
      <c r="G110" s="187"/>
      <c r="H110" s="192"/>
      <c r="I110" s="192"/>
      <c r="J110" s="192"/>
      <c r="K110" s="192"/>
      <c r="L110" s="192"/>
    </row>
    <row r="111" spans="1:12" s="248" customFormat="1" ht="51">
      <c r="A111" s="185">
        <v>7</v>
      </c>
      <c r="B111" s="274" t="s">
        <v>410</v>
      </c>
      <c r="C111" s="257">
        <f>ROUND(11*(50-14)+1*(70-14)+1*31,2)</f>
        <v>483</v>
      </c>
      <c r="D111" s="271" t="s">
        <v>150</v>
      </c>
      <c r="E111" s="258"/>
      <c r="F111" s="182">
        <f t="shared" ref="F111" si="28">ROUND(C111*E111,2)</f>
        <v>0</v>
      </c>
      <c r="G111" s="187"/>
      <c r="H111" s="192"/>
      <c r="I111" s="192"/>
      <c r="J111" s="192"/>
      <c r="K111" s="192"/>
      <c r="L111" s="192"/>
    </row>
    <row r="112" spans="1:12" s="248" customFormat="1" ht="63.75">
      <c r="A112" s="185">
        <v>8</v>
      </c>
      <c r="B112" s="288" t="s">
        <v>411</v>
      </c>
      <c r="C112" s="257">
        <f>ROUND(11*14+1*14,2)</f>
        <v>168</v>
      </c>
      <c r="D112" s="271" t="s">
        <v>150</v>
      </c>
      <c r="E112" s="258"/>
      <c r="F112" s="182">
        <f t="shared" si="26"/>
        <v>0</v>
      </c>
      <c r="G112" s="187"/>
      <c r="H112" s="192"/>
      <c r="I112" s="192"/>
      <c r="J112" s="192"/>
      <c r="K112" s="192"/>
      <c r="L112" s="192"/>
    </row>
    <row r="113" spans="1:12" s="248" customFormat="1" ht="38.25">
      <c r="A113" s="185">
        <v>9</v>
      </c>
      <c r="B113" s="274" t="s">
        <v>313</v>
      </c>
      <c r="C113" s="257">
        <f>ROUND((22*36.7+5*2*6.1)*3.28,2)</f>
        <v>2848.35</v>
      </c>
      <c r="D113" s="271" t="s">
        <v>150</v>
      </c>
      <c r="E113" s="182"/>
      <c r="F113" s="182">
        <f t="shared" ref="F113" si="29">ROUND(C113*E113,2)</f>
        <v>0</v>
      </c>
      <c r="G113" s="190"/>
      <c r="H113" s="192"/>
      <c r="I113" s="192"/>
      <c r="J113" s="192"/>
      <c r="K113" s="192"/>
      <c r="L113" s="192"/>
    </row>
    <row r="114" spans="1:12" s="248" customFormat="1" ht="25.5">
      <c r="A114" s="185">
        <v>10</v>
      </c>
      <c r="B114" s="274" t="s">
        <v>314</v>
      </c>
      <c r="C114" s="257">
        <f>ROUND(2*4,2)</f>
        <v>8</v>
      </c>
      <c r="D114" s="271" t="s">
        <v>117</v>
      </c>
      <c r="E114" s="182"/>
      <c r="F114" s="182">
        <f t="shared" si="26"/>
        <v>0</v>
      </c>
      <c r="G114" s="190"/>
      <c r="H114" s="192"/>
      <c r="I114" s="192"/>
      <c r="J114" s="192"/>
      <c r="K114" s="192"/>
      <c r="L114" s="192"/>
    </row>
    <row r="115" spans="1:12" s="248" customFormat="1" ht="25.5">
      <c r="A115" s="185">
        <v>11</v>
      </c>
      <c r="B115" s="274" t="s">
        <v>315</v>
      </c>
      <c r="C115" s="257">
        <f>ROUND(7*4,2)</f>
        <v>28</v>
      </c>
      <c r="D115" s="271" t="s">
        <v>117</v>
      </c>
      <c r="E115" s="182"/>
      <c r="F115" s="182">
        <f t="shared" ref="F115" si="30">ROUND(C115*E115,2)</f>
        <v>0</v>
      </c>
      <c r="G115" s="190"/>
      <c r="H115" s="192"/>
      <c r="I115" s="192"/>
      <c r="J115" s="192"/>
      <c r="K115" s="192"/>
      <c r="L115" s="192"/>
    </row>
    <row r="116" spans="1:12" s="248" customFormat="1">
      <c r="A116" s="185">
        <v>12</v>
      </c>
      <c r="B116" s="272" t="s">
        <v>281</v>
      </c>
      <c r="C116" s="257">
        <f>ROUND((30.6*36.7+6.1*2*6.1)*10.76,2)</f>
        <v>12884.45</v>
      </c>
      <c r="D116" s="271" t="s">
        <v>132</v>
      </c>
      <c r="E116" s="182"/>
      <c r="F116" s="182">
        <f t="shared" si="26"/>
        <v>0</v>
      </c>
      <c r="G116" s="190"/>
      <c r="H116" s="192"/>
      <c r="I116" s="192"/>
      <c r="J116" s="192"/>
      <c r="K116" s="192"/>
      <c r="L116" s="192"/>
    </row>
    <row r="117" spans="1:12" s="248" customFormat="1">
      <c r="A117" s="185">
        <v>13</v>
      </c>
      <c r="B117" s="262" t="s">
        <v>316</v>
      </c>
      <c r="C117" s="257">
        <f>ROUND(37*3.28,2)</f>
        <v>121.36</v>
      </c>
      <c r="D117" s="271" t="s">
        <v>150</v>
      </c>
      <c r="E117" s="182"/>
      <c r="F117" s="182">
        <f t="shared" si="26"/>
        <v>0</v>
      </c>
      <c r="G117" s="187"/>
      <c r="H117" s="192"/>
      <c r="I117" s="192"/>
      <c r="J117" s="192"/>
      <c r="K117" s="192"/>
      <c r="L117" s="192"/>
    </row>
    <row r="118" spans="1:12" s="173" customFormat="1">
      <c r="A118" s="185">
        <v>14</v>
      </c>
      <c r="B118" s="262" t="s">
        <v>317</v>
      </c>
      <c r="C118" s="257">
        <f>ROUND(15.3*4*3.28,2)</f>
        <v>200.74</v>
      </c>
      <c r="D118" s="271" t="s">
        <v>150</v>
      </c>
      <c r="E118" s="182"/>
      <c r="F118" s="182">
        <f t="shared" si="26"/>
        <v>0</v>
      </c>
      <c r="G118" s="187"/>
      <c r="H118" s="192"/>
      <c r="I118" s="192"/>
      <c r="J118" s="192"/>
      <c r="K118" s="192"/>
    </row>
    <row r="119" spans="1:12" s="173" customFormat="1">
      <c r="A119" s="185">
        <v>15</v>
      </c>
      <c r="B119" s="262" t="s">
        <v>318</v>
      </c>
      <c r="C119" s="257">
        <f>ROUND(15.3*4*3.28,2)</f>
        <v>200.74</v>
      </c>
      <c r="D119" s="271" t="s">
        <v>150</v>
      </c>
      <c r="E119" s="182"/>
      <c r="F119" s="182">
        <f t="shared" si="26"/>
        <v>0</v>
      </c>
      <c r="G119" s="187"/>
      <c r="H119" s="192"/>
      <c r="I119" s="192"/>
      <c r="J119" s="192"/>
      <c r="K119" s="192"/>
    </row>
    <row r="120" spans="1:12" s="192" customFormat="1">
      <c r="A120" s="185">
        <v>16</v>
      </c>
      <c r="B120" s="262" t="s">
        <v>319</v>
      </c>
      <c r="C120" s="257">
        <f>ROUND(37*2*3.28,2)</f>
        <v>242.72</v>
      </c>
      <c r="D120" s="271" t="s">
        <v>150</v>
      </c>
      <c r="E120" s="182"/>
      <c r="F120" s="182">
        <f t="shared" si="26"/>
        <v>0</v>
      </c>
      <c r="G120" s="187"/>
      <c r="H120" s="173"/>
    </row>
    <row r="121" spans="1:12" s="192" customFormat="1">
      <c r="A121" s="185">
        <v>17</v>
      </c>
      <c r="B121" s="262" t="s">
        <v>326</v>
      </c>
      <c r="C121" s="275">
        <v>12</v>
      </c>
      <c r="D121" s="271" t="s">
        <v>117</v>
      </c>
      <c r="E121" s="182"/>
      <c r="F121" s="182">
        <f t="shared" si="26"/>
        <v>0</v>
      </c>
      <c r="G121" s="187">
        <f>SUM(F105:F121)</f>
        <v>0</v>
      </c>
      <c r="H121" s="191"/>
    </row>
    <row r="122" spans="1:12" s="192" customFormat="1">
      <c r="A122" s="177"/>
      <c r="B122" s="178"/>
      <c r="C122" s="176"/>
      <c r="D122" s="250"/>
      <c r="E122" s="169"/>
      <c r="F122" s="182"/>
      <c r="G122" s="169"/>
      <c r="H122" s="191"/>
    </row>
    <row r="123" spans="1:12" s="192" customFormat="1">
      <c r="A123" s="184" t="s">
        <v>178</v>
      </c>
      <c r="B123" s="180" t="s">
        <v>230</v>
      </c>
      <c r="C123" s="240"/>
      <c r="D123" s="252"/>
      <c r="E123" s="195"/>
      <c r="F123" s="182"/>
      <c r="G123" s="187"/>
      <c r="H123" s="191"/>
    </row>
    <row r="124" spans="1:12" s="192" customFormat="1" ht="25.5">
      <c r="A124" s="185">
        <v>1</v>
      </c>
      <c r="B124" s="262" t="s">
        <v>344</v>
      </c>
      <c r="C124" s="181">
        <v>1</v>
      </c>
      <c r="D124" s="251" t="s">
        <v>231</v>
      </c>
      <c r="E124" s="182"/>
      <c r="F124" s="182">
        <f>ROUND(C124*E124,2)</f>
        <v>0</v>
      </c>
      <c r="G124" s="187"/>
      <c r="H124" s="191"/>
    </row>
    <row r="125" spans="1:12" s="192" customFormat="1" ht="25.5">
      <c r="A125" s="185">
        <v>2</v>
      </c>
      <c r="B125" s="262" t="s">
        <v>347</v>
      </c>
      <c r="C125" s="181">
        <v>1</v>
      </c>
      <c r="D125" s="251" t="s">
        <v>179</v>
      </c>
      <c r="E125" s="182"/>
      <c r="F125" s="182">
        <f>ROUND(C125*E125,2)</f>
        <v>0</v>
      </c>
      <c r="G125" s="187"/>
      <c r="H125" s="191"/>
    </row>
    <row r="126" spans="1:12" s="192" customFormat="1" ht="25.5">
      <c r="A126" s="185">
        <v>3</v>
      </c>
      <c r="B126" s="183" t="s">
        <v>260</v>
      </c>
      <c r="C126" s="181">
        <v>1</v>
      </c>
      <c r="D126" s="251" t="s">
        <v>162</v>
      </c>
      <c r="E126" s="182"/>
      <c r="F126" s="182">
        <f>ROUND(C126*E126,2)</f>
        <v>0</v>
      </c>
      <c r="G126" s="187">
        <f>SUM(F124:F126)</f>
        <v>0</v>
      </c>
      <c r="H126" s="191"/>
    </row>
    <row r="127" spans="1:12" s="192" customFormat="1">
      <c r="A127" s="185"/>
      <c r="B127" s="183"/>
      <c r="C127" s="181"/>
      <c r="D127" s="251"/>
      <c r="E127" s="182"/>
      <c r="F127" s="182"/>
      <c r="G127" s="187"/>
      <c r="H127" s="191"/>
    </row>
    <row r="128" spans="1:12" s="192" customFormat="1">
      <c r="A128" s="184" t="s">
        <v>172</v>
      </c>
      <c r="B128" s="186" t="s">
        <v>116</v>
      </c>
      <c r="C128" s="188"/>
      <c r="D128" s="184"/>
      <c r="E128" s="186"/>
      <c r="F128" s="182"/>
      <c r="G128" s="186"/>
      <c r="H128" s="191"/>
    </row>
    <row r="129" spans="1:8" s="192" customFormat="1">
      <c r="A129" s="185">
        <v>1</v>
      </c>
      <c r="B129" s="183" t="s">
        <v>282</v>
      </c>
      <c r="C129" s="188">
        <v>1</v>
      </c>
      <c r="D129" s="251" t="s">
        <v>162</v>
      </c>
      <c r="E129" s="188"/>
      <c r="F129" s="182">
        <f t="shared" ref="F129" si="31">ROUND(C129*E129,2)</f>
        <v>0</v>
      </c>
      <c r="G129" s="187">
        <f>SUM(F129)</f>
        <v>0</v>
      </c>
      <c r="H129" s="191"/>
    </row>
    <row r="130" spans="1:8" s="192" customFormat="1">
      <c r="A130" s="185"/>
      <c r="B130" s="183"/>
      <c r="C130" s="181"/>
      <c r="D130" s="251"/>
      <c r="E130" s="182"/>
      <c r="F130" s="182"/>
      <c r="G130" s="187"/>
      <c r="H130" s="191"/>
    </row>
    <row r="131" spans="1:8" s="192" customFormat="1">
      <c r="A131" s="184" t="s">
        <v>220</v>
      </c>
      <c r="B131" s="180" t="s">
        <v>254</v>
      </c>
      <c r="C131" s="188"/>
      <c r="D131" s="251"/>
      <c r="E131" s="188"/>
      <c r="F131" s="182"/>
      <c r="G131" s="187"/>
      <c r="H131" s="191"/>
    </row>
    <row r="132" spans="1:8" s="192" customFormat="1" ht="25.5">
      <c r="A132" s="193">
        <v>1</v>
      </c>
      <c r="B132" s="183" t="s">
        <v>289</v>
      </c>
      <c r="C132" s="188">
        <v>1</v>
      </c>
      <c r="D132" s="251" t="s">
        <v>162</v>
      </c>
      <c r="E132" s="188"/>
      <c r="F132" s="182">
        <f t="shared" si="9"/>
        <v>0</v>
      </c>
      <c r="G132" s="187"/>
      <c r="H132" s="191"/>
    </row>
    <row r="133" spans="1:8" s="192" customFormat="1">
      <c r="A133" s="193">
        <v>2</v>
      </c>
      <c r="B133" s="183" t="s">
        <v>163</v>
      </c>
      <c r="C133" s="181">
        <v>4</v>
      </c>
      <c r="D133" s="251" t="s">
        <v>117</v>
      </c>
      <c r="E133" s="182"/>
      <c r="F133" s="182">
        <f>ROUND(C133*E133,2)</f>
        <v>0</v>
      </c>
      <c r="G133" s="187">
        <f>SUM(F132:F133)</f>
        <v>0</v>
      </c>
      <c r="H133" s="191"/>
    </row>
    <row r="134" spans="1:8" s="192" customFormat="1">
      <c r="A134" s="193"/>
      <c r="B134" s="183"/>
      <c r="C134" s="188"/>
      <c r="D134" s="251"/>
      <c r="E134" s="188"/>
      <c r="F134" s="182"/>
      <c r="G134" s="187"/>
      <c r="H134" s="191"/>
    </row>
    <row r="135" spans="1:8" s="192" customFormat="1">
      <c r="A135" s="243" t="s">
        <v>265</v>
      </c>
      <c r="B135" s="244" t="s">
        <v>129</v>
      </c>
      <c r="C135" s="263"/>
      <c r="D135" s="243"/>
      <c r="E135" s="244"/>
      <c r="F135" s="246"/>
      <c r="G135" s="244"/>
      <c r="H135" s="191"/>
    </row>
    <row r="136" spans="1:8" s="192" customFormat="1">
      <c r="A136" s="184" t="s">
        <v>88</v>
      </c>
      <c r="B136" s="186" t="s">
        <v>147</v>
      </c>
      <c r="C136" s="188"/>
      <c r="D136" s="184"/>
      <c r="E136" s="186"/>
      <c r="F136" s="182"/>
      <c r="G136" s="186"/>
      <c r="H136" s="191"/>
    </row>
    <row r="137" spans="1:8" s="192" customFormat="1">
      <c r="A137" s="185">
        <v>1</v>
      </c>
      <c r="B137" s="190" t="s">
        <v>271</v>
      </c>
      <c r="C137" s="188">
        <v>1</v>
      </c>
      <c r="D137" s="185" t="s">
        <v>245</v>
      </c>
      <c r="E137" s="182"/>
      <c r="F137" s="182">
        <f t="shared" si="9"/>
        <v>0</v>
      </c>
      <c r="G137" s="186"/>
      <c r="H137" s="191"/>
    </row>
    <row r="138" spans="1:8" s="192" customFormat="1">
      <c r="A138" s="185">
        <v>2</v>
      </c>
      <c r="B138" s="183" t="s">
        <v>244</v>
      </c>
      <c r="C138" s="188">
        <f>ROUND(23.2*5.2,2)</f>
        <v>120.64</v>
      </c>
      <c r="D138" s="251" t="s">
        <v>87</v>
      </c>
      <c r="E138" s="188"/>
      <c r="F138" s="182">
        <f t="shared" si="9"/>
        <v>0</v>
      </c>
      <c r="G138" s="187"/>
      <c r="H138" s="191"/>
    </row>
    <row r="139" spans="1:8" s="192" customFormat="1">
      <c r="A139" s="185">
        <v>3</v>
      </c>
      <c r="B139" s="183" t="s">
        <v>233</v>
      </c>
      <c r="C139" s="188">
        <f>ROUND(((23.2*2)+(5.5*2)),2)</f>
        <v>57.4</v>
      </c>
      <c r="D139" s="251" t="s">
        <v>167</v>
      </c>
      <c r="E139" s="188"/>
      <c r="F139" s="182">
        <f t="shared" si="9"/>
        <v>0</v>
      </c>
      <c r="G139" s="187"/>
      <c r="H139" s="191"/>
    </row>
    <row r="140" spans="1:8" s="192" customFormat="1">
      <c r="A140" s="185">
        <v>4</v>
      </c>
      <c r="B140" s="262" t="s">
        <v>376</v>
      </c>
      <c r="C140" s="188">
        <f>ROUND((23.2*5.2)-((5.05*4)-(0.9*5))*0.15-(2.1*0.15)-(1.85*0.15)-(0.6*2*0.15),2)</f>
        <v>117.51</v>
      </c>
      <c r="D140" s="251" t="s">
        <v>87</v>
      </c>
      <c r="E140" s="188"/>
      <c r="F140" s="182">
        <f t="shared" si="9"/>
        <v>0</v>
      </c>
      <c r="G140" s="187"/>
      <c r="H140" s="191"/>
    </row>
    <row r="141" spans="1:8" s="192" customFormat="1">
      <c r="A141" s="185">
        <v>5</v>
      </c>
      <c r="B141" s="183" t="s">
        <v>243</v>
      </c>
      <c r="C141" s="188">
        <f>ROUND(((23.2*2)-(0.9*5))*0.07+((5.05*10)-(0.9*10))*0.07+(0.6*4+1.85*2+2.1*2)*0.07,2)</f>
        <v>6.56</v>
      </c>
      <c r="D141" s="251" t="s">
        <v>87</v>
      </c>
      <c r="E141" s="188"/>
      <c r="F141" s="182">
        <f t="shared" si="9"/>
        <v>0</v>
      </c>
      <c r="G141" s="187"/>
      <c r="H141" s="191"/>
    </row>
    <row r="142" spans="1:8" s="192" customFormat="1">
      <c r="A142" s="185">
        <v>6</v>
      </c>
      <c r="B142" s="183" t="s">
        <v>242</v>
      </c>
      <c r="C142" s="188">
        <f>ROUND((8.8*5.05)+(5.05*4.1),2)</f>
        <v>65.150000000000006</v>
      </c>
      <c r="D142" s="251" t="s">
        <v>87</v>
      </c>
      <c r="E142" s="188"/>
      <c r="F142" s="182">
        <f t="shared" si="9"/>
        <v>0</v>
      </c>
      <c r="G142" s="187"/>
      <c r="H142" s="191"/>
    </row>
    <row r="143" spans="1:8" s="192" customFormat="1">
      <c r="A143" s="185">
        <v>7</v>
      </c>
      <c r="B143" s="183" t="s">
        <v>241</v>
      </c>
      <c r="C143" s="188">
        <f>ROUND((4.4*2)+(5.05)+(5.05*2)+(4.1*2)-(0.9*2.1*2)-(0.9*2.1)-(2.1*1.1)*4,2)</f>
        <v>17.239999999999998</v>
      </c>
      <c r="D143" s="251" t="s">
        <v>87</v>
      </c>
      <c r="E143" s="188"/>
      <c r="F143" s="182">
        <f t="shared" si="9"/>
        <v>0</v>
      </c>
      <c r="G143" s="187"/>
      <c r="H143" s="191"/>
    </row>
    <row r="144" spans="1:8" s="192" customFormat="1" ht="25.5">
      <c r="A144" s="185">
        <v>8</v>
      </c>
      <c r="B144" s="262" t="s">
        <v>377</v>
      </c>
      <c r="C144" s="188">
        <f>ROUND(0.7*1.1,2)</f>
        <v>0.77</v>
      </c>
      <c r="D144" s="251" t="s">
        <v>87</v>
      </c>
      <c r="E144" s="188"/>
      <c r="F144" s="182">
        <f t="shared" ref="F144:F214" si="32">ROUND(C144*E144,2)</f>
        <v>0</v>
      </c>
      <c r="G144" s="187"/>
      <c r="H144" s="191"/>
    </row>
    <row r="145" spans="1:11" s="192" customFormat="1" ht="25.5">
      <c r="A145" s="185">
        <v>9</v>
      </c>
      <c r="B145" s="262" t="s">
        <v>378</v>
      </c>
      <c r="C145" s="188">
        <f>ROUND((0.85*0.66)*2,2)</f>
        <v>1.1200000000000001</v>
      </c>
      <c r="D145" s="251" t="s">
        <v>87</v>
      </c>
      <c r="E145" s="188"/>
      <c r="F145" s="182">
        <f t="shared" si="32"/>
        <v>0</v>
      </c>
      <c r="G145" s="187"/>
      <c r="H145" s="191"/>
    </row>
    <row r="146" spans="1:11" s="173" customFormat="1">
      <c r="A146" s="185">
        <v>10</v>
      </c>
      <c r="B146" s="262" t="s">
        <v>379</v>
      </c>
      <c r="C146" s="188">
        <f>ROUND(1.7*2.1,2)</f>
        <v>3.57</v>
      </c>
      <c r="D146" s="251" t="s">
        <v>87</v>
      </c>
      <c r="E146" s="188"/>
      <c r="F146" s="182">
        <f t="shared" si="32"/>
        <v>0</v>
      </c>
      <c r="G146" s="187"/>
      <c r="H146" s="191"/>
      <c r="I146" s="192"/>
      <c r="J146" s="192"/>
      <c r="K146" s="192"/>
    </row>
    <row r="147" spans="1:11" s="173" customFormat="1">
      <c r="A147" s="185">
        <v>11</v>
      </c>
      <c r="B147" s="183" t="s">
        <v>418</v>
      </c>
      <c r="C147" s="188">
        <f>ROUND(1.7*1.08,2)</f>
        <v>1.84</v>
      </c>
      <c r="D147" s="251" t="s">
        <v>87</v>
      </c>
      <c r="E147" s="188"/>
      <c r="F147" s="182">
        <f t="shared" si="32"/>
        <v>0</v>
      </c>
      <c r="G147" s="187"/>
      <c r="H147" s="191"/>
    </row>
    <row r="148" spans="1:11" s="173" customFormat="1">
      <c r="A148" s="185">
        <v>12</v>
      </c>
      <c r="B148" s="183" t="s">
        <v>201</v>
      </c>
      <c r="C148" s="188">
        <f>ROUND((1.4*1.1)+(2.1*1.1)*3+(0.6*0.6)*2,2)</f>
        <v>9.19</v>
      </c>
      <c r="D148" s="251" t="s">
        <v>87</v>
      </c>
      <c r="E148" s="188"/>
      <c r="F148" s="182">
        <f t="shared" si="32"/>
        <v>0</v>
      </c>
      <c r="G148" s="187"/>
      <c r="H148" s="172"/>
    </row>
    <row r="149" spans="1:11" s="173" customFormat="1">
      <c r="A149" s="185">
        <v>13</v>
      </c>
      <c r="B149" s="183" t="s">
        <v>202</v>
      </c>
      <c r="C149" s="188">
        <v>1</v>
      </c>
      <c r="D149" s="251" t="s">
        <v>4</v>
      </c>
      <c r="E149" s="188"/>
      <c r="F149" s="182">
        <f t="shared" si="32"/>
        <v>0</v>
      </c>
      <c r="G149" s="187"/>
      <c r="H149" s="172"/>
    </row>
    <row r="150" spans="1:11" s="173" customFormat="1">
      <c r="A150" s="185">
        <v>14</v>
      </c>
      <c r="B150" s="183" t="s">
        <v>151</v>
      </c>
      <c r="C150" s="188">
        <f>ROUND(((C139*0.012)+(C138*0.05)+(C140*0.1)+(C141*0.1)+(C142*0.05)+(C143*0.05)+(C144*0.15)+(C145*0.15)+(C146*0.15)+(C147*0.12))*1.5,2)</f>
        <v>36.43</v>
      </c>
      <c r="D150" s="292" t="s">
        <v>168</v>
      </c>
      <c r="E150" s="188"/>
      <c r="F150" s="182">
        <f t="shared" si="32"/>
        <v>0</v>
      </c>
      <c r="G150" s="187">
        <f>SUM(F137:F150)</f>
        <v>0</v>
      </c>
      <c r="H150" s="172"/>
    </row>
    <row r="151" spans="1:11" s="192" customFormat="1">
      <c r="A151" s="188"/>
      <c r="B151" s="188"/>
      <c r="C151" s="188"/>
      <c r="D151" s="292"/>
      <c r="E151" s="188"/>
      <c r="F151" s="182"/>
      <c r="G151" s="169"/>
      <c r="H151" s="172"/>
      <c r="I151" s="173"/>
      <c r="J151" s="173"/>
      <c r="K151" s="173"/>
    </row>
    <row r="152" spans="1:11" s="192" customFormat="1">
      <c r="A152" s="184" t="s">
        <v>107</v>
      </c>
      <c r="B152" s="186" t="s">
        <v>177</v>
      </c>
      <c r="C152" s="170"/>
      <c r="D152" s="168"/>
      <c r="E152" s="169"/>
      <c r="F152" s="182"/>
      <c r="G152" s="169"/>
      <c r="H152" s="172"/>
    </row>
    <row r="153" spans="1:11" s="192" customFormat="1" ht="25.5">
      <c r="A153" s="185">
        <v>1</v>
      </c>
      <c r="B153" s="183" t="s">
        <v>240</v>
      </c>
      <c r="C153" s="188">
        <f>ROUND(1.2*2.1,2)</f>
        <v>2.52</v>
      </c>
      <c r="D153" s="251" t="s">
        <v>87</v>
      </c>
      <c r="E153" s="188"/>
      <c r="F153" s="182">
        <f t="shared" si="32"/>
        <v>0</v>
      </c>
      <c r="G153" s="187">
        <f>SUM(F153)</f>
        <v>0</v>
      </c>
      <c r="H153" s="191"/>
    </row>
    <row r="154" spans="1:11" s="173" customFormat="1">
      <c r="A154" s="168"/>
      <c r="B154" s="169"/>
      <c r="C154" s="170"/>
      <c r="D154" s="168"/>
      <c r="E154" s="188"/>
      <c r="F154" s="182"/>
      <c r="G154" s="169"/>
      <c r="H154" s="191"/>
      <c r="I154" s="192"/>
      <c r="J154" s="192"/>
      <c r="K154" s="192"/>
    </row>
    <row r="155" spans="1:11" s="173" customFormat="1">
      <c r="A155" s="184" t="s">
        <v>108</v>
      </c>
      <c r="B155" s="186" t="s">
        <v>124</v>
      </c>
      <c r="C155" s="188"/>
      <c r="D155" s="184"/>
      <c r="E155" s="188"/>
      <c r="F155" s="182"/>
      <c r="G155" s="186"/>
      <c r="H155" s="191"/>
    </row>
    <row r="156" spans="1:11" s="192" customFormat="1" ht="25.5">
      <c r="A156" s="185">
        <v>1</v>
      </c>
      <c r="B156" s="262" t="s">
        <v>345</v>
      </c>
      <c r="C156" s="188">
        <f>ROUND((23.2*5.2)-((5.05*4)-(0.9*5))*0.15-(2.1*0.15)-(1.85*0.15)-(0.6*2*0.15),2)</f>
        <v>117.51</v>
      </c>
      <c r="D156" s="251" t="s">
        <v>87</v>
      </c>
      <c r="E156" s="188"/>
      <c r="F156" s="182">
        <f t="shared" si="32"/>
        <v>0</v>
      </c>
      <c r="G156" s="190"/>
      <c r="H156" s="172"/>
      <c r="I156" s="173"/>
      <c r="J156" s="173"/>
      <c r="K156" s="173"/>
    </row>
    <row r="157" spans="1:11" s="192" customFormat="1">
      <c r="A157" s="185">
        <v>2</v>
      </c>
      <c r="B157" s="272" t="s">
        <v>320</v>
      </c>
      <c r="C157" s="188">
        <f>ROUND((23.2*5.2)-((5.05*4)-(0.9*5))*0.15-(2.1*0.15)-(1.85*0.15)-(0.6*2*0.15),2)</f>
        <v>117.51</v>
      </c>
      <c r="D157" s="251" t="s">
        <v>87</v>
      </c>
      <c r="E157" s="188"/>
      <c r="F157" s="182">
        <f t="shared" si="32"/>
        <v>0</v>
      </c>
      <c r="G157" s="187"/>
      <c r="H157" s="172"/>
    </row>
    <row r="158" spans="1:11" s="192" customFormat="1">
      <c r="A158" s="185">
        <v>3</v>
      </c>
      <c r="B158" s="272" t="s">
        <v>349</v>
      </c>
      <c r="C158" s="188">
        <f>ROUND(((23.2*2)-(0.9*5))+((5.05*10)-(0.9*10))+(0.6*4+1.85*2+2.1*2),2)</f>
        <v>93.7</v>
      </c>
      <c r="D158" s="251" t="s">
        <v>188</v>
      </c>
      <c r="E158" s="188"/>
      <c r="F158" s="182">
        <f t="shared" si="32"/>
        <v>0</v>
      </c>
      <c r="G158" s="187">
        <f>SUM(F156:F158)</f>
        <v>0</v>
      </c>
      <c r="H158" s="191"/>
    </row>
    <row r="159" spans="1:11" s="173" customFormat="1">
      <c r="A159" s="174"/>
      <c r="B159" s="242"/>
      <c r="C159" s="170"/>
      <c r="D159" s="250"/>
      <c r="E159" s="170"/>
      <c r="F159" s="182"/>
      <c r="G159" s="175"/>
      <c r="H159" s="191"/>
      <c r="I159" s="192"/>
      <c r="J159" s="192"/>
      <c r="K159" s="192"/>
    </row>
    <row r="160" spans="1:11" s="192" customFormat="1">
      <c r="A160" s="184" t="s">
        <v>109</v>
      </c>
      <c r="B160" s="186" t="s">
        <v>169</v>
      </c>
      <c r="C160" s="188"/>
      <c r="D160" s="184"/>
      <c r="E160" s="186"/>
      <c r="F160" s="182"/>
      <c r="G160" s="186"/>
      <c r="H160" s="191"/>
      <c r="I160" s="173"/>
      <c r="J160" s="173"/>
      <c r="K160" s="173"/>
    </row>
    <row r="161" spans="1:11" s="192" customFormat="1">
      <c r="A161" s="185">
        <v>1</v>
      </c>
      <c r="B161" s="262" t="s">
        <v>350</v>
      </c>
      <c r="C161" s="188">
        <f>ROUND(23.2*5.2,2)</f>
        <v>120.64</v>
      </c>
      <c r="D161" s="251" t="s">
        <v>87</v>
      </c>
      <c r="E161" s="188"/>
      <c r="F161" s="182">
        <f t="shared" si="32"/>
        <v>0</v>
      </c>
      <c r="G161" s="186"/>
      <c r="H161" s="172"/>
    </row>
    <row r="162" spans="1:11" s="192" customFormat="1">
      <c r="A162" s="185">
        <v>2</v>
      </c>
      <c r="B162" s="262" t="s">
        <v>351</v>
      </c>
      <c r="C162" s="188">
        <f>ROUND(((23.2*2)+(5.5*2)),2)</f>
        <v>57.4</v>
      </c>
      <c r="D162" s="251" t="s">
        <v>167</v>
      </c>
      <c r="E162" s="182"/>
      <c r="F162" s="182">
        <f t="shared" si="32"/>
        <v>0</v>
      </c>
      <c r="G162" s="187">
        <f>SUM(F161:F162)</f>
        <v>0</v>
      </c>
      <c r="H162" s="191"/>
    </row>
    <row r="163" spans="1:11" s="192" customFormat="1">
      <c r="A163" s="174"/>
      <c r="B163" s="178"/>
      <c r="C163" s="170"/>
      <c r="D163" s="250"/>
      <c r="E163" s="171"/>
      <c r="F163" s="182"/>
      <c r="G163" s="175"/>
      <c r="H163" s="191"/>
    </row>
    <row r="164" spans="1:11" s="192" customFormat="1">
      <c r="A164" s="184" t="s">
        <v>110</v>
      </c>
      <c r="B164" s="186" t="s">
        <v>152</v>
      </c>
      <c r="C164" s="188"/>
      <c r="D164" s="184"/>
      <c r="E164" s="186"/>
      <c r="F164" s="182"/>
      <c r="G164" s="186"/>
      <c r="H164" s="191"/>
    </row>
    <row r="165" spans="1:11" s="192" customFormat="1">
      <c r="A165" s="185">
        <v>1</v>
      </c>
      <c r="B165" s="183" t="s">
        <v>383</v>
      </c>
      <c r="C165" s="188">
        <f>ROUND(1.2*2.1*2,2)</f>
        <v>5.04</v>
      </c>
      <c r="D165" s="251" t="s">
        <v>87</v>
      </c>
      <c r="E165" s="182"/>
      <c r="F165" s="182">
        <f t="shared" si="32"/>
        <v>0</v>
      </c>
      <c r="G165" s="187"/>
      <c r="H165" s="191"/>
    </row>
    <row r="166" spans="1:11" s="192" customFormat="1">
      <c r="A166" s="185">
        <v>2</v>
      </c>
      <c r="B166" s="183" t="s">
        <v>382</v>
      </c>
      <c r="C166" s="188">
        <f>ROUND(1.2*2.1*2,2)</f>
        <v>5.04</v>
      </c>
      <c r="D166" s="251" t="s">
        <v>87</v>
      </c>
      <c r="E166" s="182"/>
      <c r="F166" s="182">
        <f t="shared" si="32"/>
        <v>0</v>
      </c>
      <c r="G166" s="187"/>
      <c r="H166" s="191"/>
    </row>
    <row r="167" spans="1:11" s="192" customFormat="1">
      <c r="A167" s="185">
        <v>3</v>
      </c>
      <c r="B167" s="183" t="s">
        <v>381</v>
      </c>
      <c r="C167" s="188">
        <f>ROUND((((2.1*2)+(1.1*2))*8+((0.6*2)+(0.6*2))*2),2)</f>
        <v>56</v>
      </c>
      <c r="D167" s="251" t="s">
        <v>174</v>
      </c>
      <c r="E167" s="182"/>
      <c r="F167" s="182">
        <f t="shared" si="32"/>
        <v>0</v>
      </c>
      <c r="G167" s="187"/>
      <c r="H167" s="191"/>
    </row>
    <row r="168" spans="1:11" s="173" customFormat="1">
      <c r="A168" s="185">
        <v>4</v>
      </c>
      <c r="B168" s="183" t="s">
        <v>380</v>
      </c>
      <c r="C168" s="188">
        <f>ROUND((((2.1*4)+(1.1*4))*8+((0.6*4)+(0.6*4))*2),2)</f>
        <v>112</v>
      </c>
      <c r="D168" s="251" t="s">
        <v>174</v>
      </c>
      <c r="E168" s="182"/>
      <c r="F168" s="182">
        <f t="shared" si="32"/>
        <v>0</v>
      </c>
      <c r="G168" s="187">
        <f>SUM(F165:F168)</f>
        <v>0</v>
      </c>
      <c r="H168" s="191"/>
      <c r="I168" s="192"/>
      <c r="J168" s="192"/>
      <c r="K168" s="192"/>
    </row>
    <row r="169" spans="1:11" s="192" customFormat="1">
      <c r="A169" s="185"/>
      <c r="B169" s="183"/>
      <c r="C169" s="188"/>
      <c r="D169" s="251"/>
      <c r="E169" s="182"/>
      <c r="F169" s="182"/>
      <c r="G169" s="187"/>
      <c r="H169" s="191"/>
      <c r="I169" s="173"/>
      <c r="J169" s="173"/>
      <c r="K169" s="173"/>
    </row>
    <row r="170" spans="1:11" s="192" customFormat="1">
      <c r="A170" s="184" t="s">
        <v>111</v>
      </c>
      <c r="B170" s="186" t="s">
        <v>127</v>
      </c>
      <c r="C170" s="188"/>
      <c r="D170" s="184"/>
      <c r="E170" s="186"/>
      <c r="F170" s="182"/>
      <c r="G170" s="186"/>
      <c r="H170" s="172"/>
    </row>
    <row r="171" spans="1:11" s="192" customFormat="1" ht="25.5">
      <c r="A171" s="193">
        <v>1</v>
      </c>
      <c r="B171" s="262" t="s">
        <v>412</v>
      </c>
      <c r="C171" s="188">
        <f>ROUND(23.55*5.35,2)</f>
        <v>125.99</v>
      </c>
      <c r="D171" s="251" t="s">
        <v>87</v>
      </c>
      <c r="E171" s="182"/>
      <c r="F171" s="182">
        <f t="shared" si="32"/>
        <v>0</v>
      </c>
      <c r="G171" s="187">
        <f>SUM(F171)</f>
        <v>0</v>
      </c>
      <c r="H171" s="191"/>
    </row>
    <row r="172" spans="1:11" s="192" customFormat="1">
      <c r="A172" s="177"/>
      <c r="B172" s="178"/>
      <c r="C172" s="170"/>
      <c r="D172" s="250"/>
      <c r="E172" s="169"/>
      <c r="F172" s="182"/>
      <c r="G172" s="169"/>
      <c r="H172" s="191"/>
    </row>
    <row r="173" spans="1:11" s="192" customFormat="1">
      <c r="A173" s="194" t="s">
        <v>119</v>
      </c>
      <c r="B173" s="186" t="s">
        <v>120</v>
      </c>
      <c r="C173" s="181"/>
      <c r="D173" s="251"/>
      <c r="E173" s="186"/>
      <c r="F173" s="182"/>
      <c r="G173" s="186"/>
      <c r="H173" s="191"/>
    </row>
    <row r="174" spans="1:11" s="192" customFormat="1" ht="25.5">
      <c r="A174" s="193">
        <v>1</v>
      </c>
      <c r="B174" s="183" t="s">
        <v>354</v>
      </c>
      <c r="C174" s="181">
        <f>ROUND(((5.05+4.4*2)*2.6+(1.55*0.8*2)+(1.85*2*0.8)-(2.1*1.1)*1.5),2)</f>
        <v>37.99</v>
      </c>
      <c r="D174" s="251" t="s">
        <v>87</v>
      </c>
      <c r="E174" s="182"/>
      <c r="F174" s="182">
        <f t="shared" si="32"/>
        <v>0</v>
      </c>
      <c r="G174" s="186"/>
      <c r="H174" s="191"/>
    </row>
    <row r="175" spans="1:11" s="173" customFormat="1" ht="38.25">
      <c r="A175" s="193">
        <v>2</v>
      </c>
      <c r="B175" s="294" t="s">
        <v>355</v>
      </c>
      <c r="C175" s="181">
        <f>ROUND((5.05*2.1)+(5.05*4.05)+(5.05*3.25)+(5.05*4.4),2)</f>
        <v>69.69</v>
      </c>
      <c r="D175" s="251" t="s">
        <v>87</v>
      </c>
      <c r="E175" s="182"/>
      <c r="F175" s="182">
        <f t="shared" si="32"/>
        <v>0</v>
      </c>
      <c r="G175" s="186"/>
      <c r="H175" s="191"/>
      <c r="I175" s="192"/>
      <c r="J175" s="192"/>
      <c r="K175" s="192"/>
    </row>
    <row r="176" spans="1:11" s="192" customFormat="1">
      <c r="A176" s="193">
        <v>3</v>
      </c>
      <c r="B176" s="183" t="s">
        <v>133</v>
      </c>
      <c r="C176" s="188">
        <f>ROUND(((23.2+5.05+5.05)*2.6-(8*2.1*1.1)-(0.6*0.6*2)-(1.2*1.1)-(0.9*2.1*8)+(5.05*2.6*8)+(1.85*2*2.6)+(2.1*2.6*2)-(1.85*2*1.8)*2-(1.55*1.8)*2-(0.65*1.8)*2),2)</f>
        <v>155.28</v>
      </c>
      <c r="D176" s="251" t="s">
        <v>87</v>
      </c>
      <c r="E176" s="182"/>
      <c r="F176" s="182">
        <f t="shared" si="32"/>
        <v>0</v>
      </c>
      <c r="G176" s="186"/>
      <c r="H176" s="191"/>
      <c r="I176" s="173"/>
      <c r="J176" s="173"/>
      <c r="K176" s="173"/>
    </row>
    <row r="177" spans="1:11" s="192" customFormat="1">
      <c r="A177" s="193">
        <v>4</v>
      </c>
      <c r="B177" s="183" t="s">
        <v>170</v>
      </c>
      <c r="C177" s="188">
        <f>ROUND((23.2*5.2)-((5.05*4)-(0.9*5))*0.15-(2.1*0.15)-(1.85*0.15)-(0.6*2*0.15),2)</f>
        <v>117.51</v>
      </c>
      <c r="D177" s="251" t="s">
        <v>87</v>
      </c>
      <c r="E177" s="182"/>
      <c r="F177" s="182">
        <f t="shared" si="32"/>
        <v>0</v>
      </c>
      <c r="G177" s="186"/>
      <c r="H177" s="172"/>
    </row>
    <row r="178" spans="1:11" s="192" customFormat="1">
      <c r="A178" s="193">
        <v>5</v>
      </c>
      <c r="B178" s="183" t="s">
        <v>134</v>
      </c>
      <c r="C178" s="188">
        <f>ROUND(((23.2+5.05+5.05)*2.6-(8*2.1*1.1)-(0.6*0.6*2)-(0.9*2.1)),2)</f>
        <v>65.489999999999995</v>
      </c>
      <c r="D178" s="251" t="s">
        <v>87</v>
      </c>
      <c r="E178" s="251"/>
      <c r="F178" s="182">
        <f t="shared" si="32"/>
        <v>0</v>
      </c>
      <c r="G178" s="187">
        <f>SUM(F174:F178)</f>
        <v>0</v>
      </c>
      <c r="H178" s="191"/>
    </row>
    <row r="179" spans="1:11" s="192" customFormat="1">
      <c r="A179" s="168"/>
      <c r="B179" s="178"/>
      <c r="C179" s="170"/>
      <c r="D179" s="168"/>
      <c r="E179" s="169"/>
      <c r="F179" s="182"/>
      <c r="G179" s="169"/>
      <c r="H179" s="191"/>
    </row>
    <row r="180" spans="1:11" s="192" customFormat="1">
      <c r="A180" s="184" t="s">
        <v>121</v>
      </c>
      <c r="B180" s="186" t="s">
        <v>138</v>
      </c>
      <c r="C180" s="181"/>
      <c r="D180" s="251"/>
      <c r="E180" s="186"/>
      <c r="F180" s="182"/>
      <c r="G180" s="186"/>
      <c r="H180" s="191"/>
    </row>
    <row r="181" spans="1:11" s="173" customFormat="1">
      <c r="A181" s="185">
        <v>1</v>
      </c>
      <c r="B181" s="190" t="s">
        <v>203</v>
      </c>
      <c r="C181" s="181">
        <v>3</v>
      </c>
      <c r="D181" s="251" t="s">
        <v>117</v>
      </c>
      <c r="E181" s="181"/>
      <c r="F181" s="182">
        <f t="shared" si="32"/>
        <v>0</v>
      </c>
      <c r="G181" s="186"/>
      <c r="H181" s="191"/>
      <c r="I181" s="192"/>
      <c r="J181" s="192"/>
      <c r="K181" s="192"/>
    </row>
    <row r="182" spans="1:11" s="192" customFormat="1">
      <c r="A182" s="185">
        <v>2</v>
      </c>
      <c r="B182" s="183" t="s">
        <v>176</v>
      </c>
      <c r="C182" s="181">
        <f>ROUND(0.9*2.1,2)</f>
        <v>1.89</v>
      </c>
      <c r="D182" s="251" t="s">
        <v>87</v>
      </c>
      <c r="E182" s="181"/>
      <c r="F182" s="182">
        <f t="shared" si="32"/>
        <v>0</v>
      </c>
      <c r="G182" s="186"/>
      <c r="H182" s="191"/>
      <c r="I182" s="173"/>
      <c r="J182" s="173"/>
      <c r="K182" s="173"/>
    </row>
    <row r="183" spans="1:11" s="192" customFormat="1" ht="25.5">
      <c r="A183" s="185">
        <v>3</v>
      </c>
      <c r="B183" s="262" t="s">
        <v>352</v>
      </c>
      <c r="C183" s="181">
        <v>8</v>
      </c>
      <c r="D183" s="251" t="s">
        <v>4</v>
      </c>
      <c r="E183" s="181"/>
      <c r="F183" s="182">
        <f t="shared" si="32"/>
        <v>0</v>
      </c>
      <c r="G183" s="187"/>
      <c r="H183" s="172"/>
    </row>
    <row r="184" spans="1:11" s="192" customFormat="1">
      <c r="A184" s="185">
        <v>4</v>
      </c>
      <c r="B184" s="262" t="s">
        <v>384</v>
      </c>
      <c r="C184" s="181">
        <f>ROUND(0.9*2.1,2)</f>
        <v>1.89</v>
      </c>
      <c r="D184" s="251" t="s">
        <v>87</v>
      </c>
      <c r="E184" s="181"/>
      <c r="F184" s="182">
        <f t="shared" si="32"/>
        <v>0</v>
      </c>
      <c r="G184" s="187">
        <f>SUM(F181:F184)</f>
        <v>0</v>
      </c>
      <c r="H184" s="191"/>
    </row>
    <row r="185" spans="1:11" s="173" customFormat="1">
      <c r="A185" s="168"/>
      <c r="B185" s="178"/>
      <c r="C185" s="170"/>
      <c r="D185" s="168"/>
      <c r="E185" s="169"/>
      <c r="F185" s="182"/>
      <c r="G185" s="169"/>
      <c r="H185" s="191"/>
      <c r="I185" s="192"/>
      <c r="J185" s="192"/>
      <c r="K185" s="192"/>
    </row>
    <row r="186" spans="1:11" s="192" customFormat="1">
      <c r="A186" s="184" t="s">
        <v>159</v>
      </c>
      <c r="B186" s="186" t="s">
        <v>123</v>
      </c>
      <c r="C186" s="181"/>
      <c r="D186" s="251"/>
      <c r="E186" s="186"/>
      <c r="F186" s="182"/>
      <c r="G186" s="186"/>
      <c r="H186" s="191"/>
      <c r="I186" s="173"/>
      <c r="J186" s="173"/>
      <c r="K186" s="173"/>
    </row>
    <row r="187" spans="1:11" s="192" customFormat="1">
      <c r="A187" s="185">
        <v>1</v>
      </c>
      <c r="B187" s="262" t="s">
        <v>385</v>
      </c>
      <c r="C187" s="188">
        <f>ROUND(((2.1*1.1)*3+(0.6*0.6)),2)</f>
        <v>7.29</v>
      </c>
      <c r="D187" s="251" t="s">
        <v>87</v>
      </c>
      <c r="E187" s="182"/>
      <c r="F187" s="182">
        <f t="shared" si="32"/>
        <v>0</v>
      </c>
      <c r="G187" s="187"/>
      <c r="H187" s="172"/>
    </row>
    <row r="188" spans="1:11" s="192" customFormat="1" ht="25.5">
      <c r="A188" s="185">
        <v>2</v>
      </c>
      <c r="B188" s="262" t="s">
        <v>386</v>
      </c>
      <c r="C188" s="188">
        <f>ROUND(((8*2.1*1.1)+(0.6*0.6*2)),2)</f>
        <v>19.2</v>
      </c>
      <c r="D188" s="251" t="s">
        <v>87</v>
      </c>
      <c r="E188" s="182"/>
      <c r="F188" s="182">
        <f t="shared" si="32"/>
        <v>0</v>
      </c>
      <c r="G188" s="187">
        <f>SUM(F187:F188)</f>
        <v>0</v>
      </c>
      <c r="H188" s="191"/>
    </row>
    <row r="189" spans="1:11" s="192" customFormat="1">
      <c r="A189" s="168"/>
      <c r="B189" s="178"/>
      <c r="C189" s="170"/>
      <c r="D189" s="168"/>
      <c r="E189" s="169"/>
      <c r="F189" s="182"/>
      <c r="G189" s="169"/>
      <c r="H189" s="191"/>
    </row>
    <row r="190" spans="1:11" s="192" customFormat="1">
      <c r="A190" s="184" t="s">
        <v>178</v>
      </c>
      <c r="B190" s="186" t="s">
        <v>118</v>
      </c>
      <c r="C190" s="181"/>
      <c r="D190" s="251"/>
      <c r="E190" s="186"/>
      <c r="F190" s="182"/>
      <c r="G190" s="186"/>
      <c r="H190" s="191"/>
    </row>
    <row r="191" spans="1:11" s="192" customFormat="1">
      <c r="A191" s="185">
        <v>1</v>
      </c>
      <c r="B191" s="190" t="s">
        <v>204</v>
      </c>
      <c r="C191" s="181">
        <v>2</v>
      </c>
      <c r="D191" s="251" t="s">
        <v>117</v>
      </c>
      <c r="E191" s="182"/>
      <c r="F191" s="182">
        <f t="shared" si="32"/>
        <v>0</v>
      </c>
      <c r="G191" s="186"/>
      <c r="H191" s="191"/>
    </row>
    <row r="192" spans="1:11" s="173" customFormat="1">
      <c r="A192" s="185">
        <v>2</v>
      </c>
      <c r="B192" s="183" t="s">
        <v>136</v>
      </c>
      <c r="C192" s="181">
        <v>2</v>
      </c>
      <c r="D192" s="251" t="s">
        <v>117</v>
      </c>
      <c r="E192" s="182"/>
      <c r="F192" s="182">
        <f t="shared" si="32"/>
        <v>0</v>
      </c>
      <c r="G192" s="186"/>
      <c r="H192" s="191"/>
      <c r="I192" s="192"/>
      <c r="J192" s="192"/>
      <c r="K192" s="192"/>
    </row>
    <row r="193" spans="1:11" s="173" customFormat="1">
      <c r="A193" s="185">
        <v>3</v>
      </c>
      <c r="B193" s="183" t="s">
        <v>137</v>
      </c>
      <c r="C193" s="181">
        <v>2</v>
      </c>
      <c r="D193" s="251" t="s">
        <v>117</v>
      </c>
      <c r="E193" s="182"/>
      <c r="F193" s="182">
        <f t="shared" si="32"/>
        <v>0</v>
      </c>
      <c r="G193" s="186"/>
      <c r="H193" s="191"/>
      <c r="I193" s="192"/>
      <c r="J193" s="192"/>
      <c r="K193" s="192"/>
    </row>
    <row r="194" spans="1:11" s="173" customFormat="1">
      <c r="A194" s="185">
        <v>4</v>
      </c>
      <c r="B194" s="183" t="s">
        <v>148</v>
      </c>
      <c r="C194" s="181">
        <v>2</v>
      </c>
      <c r="D194" s="251" t="s">
        <v>117</v>
      </c>
      <c r="E194" s="182"/>
      <c r="F194" s="182">
        <f t="shared" si="32"/>
        <v>0</v>
      </c>
      <c r="G194" s="187"/>
      <c r="H194" s="191"/>
      <c r="I194" s="192"/>
      <c r="J194" s="192"/>
      <c r="K194" s="192"/>
    </row>
    <row r="195" spans="1:11" s="173" customFormat="1">
      <c r="A195" s="185">
        <v>5</v>
      </c>
      <c r="B195" s="183" t="s">
        <v>290</v>
      </c>
      <c r="C195" s="181">
        <f>(ROUND((0.7*2.75*10.76)-(0.6*0.6),2))</f>
        <v>20.350000000000001</v>
      </c>
      <c r="D195" s="251" t="s">
        <v>187</v>
      </c>
      <c r="E195" s="182"/>
      <c r="F195" s="182">
        <f t="shared" si="32"/>
        <v>0</v>
      </c>
      <c r="G195" s="187"/>
      <c r="H195" s="191"/>
      <c r="I195" s="192"/>
      <c r="J195" s="192"/>
      <c r="K195" s="192"/>
    </row>
    <row r="196" spans="1:11" s="192" customFormat="1">
      <c r="A196" s="185">
        <v>6</v>
      </c>
      <c r="B196" s="183" t="s">
        <v>291</v>
      </c>
      <c r="C196" s="181">
        <v>1</v>
      </c>
      <c r="D196" s="251" t="s">
        <v>4</v>
      </c>
      <c r="E196" s="182"/>
      <c r="F196" s="182">
        <f t="shared" si="32"/>
        <v>0</v>
      </c>
      <c r="G196" s="187"/>
      <c r="H196" s="191"/>
      <c r="I196" s="173"/>
      <c r="J196" s="173"/>
      <c r="K196" s="173"/>
    </row>
    <row r="197" spans="1:11" s="192" customFormat="1" ht="25.5">
      <c r="A197" s="185">
        <v>7</v>
      </c>
      <c r="B197" s="262" t="s">
        <v>346</v>
      </c>
      <c r="C197" s="278">
        <v>2</v>
      </c>
      <c r="D197" s="279" t="s">
        <v>4</v>
      </c>
      <c r="E197" s="258"/>
      <c r="F197" s="258">
        <f t="shared" si="32"/>
        <v>0</v>
      </c>
      <c r="G197" s="187"/>
      <c r="H197" s="172"/>
    </row>
    <row r="198" spans="1:11" s="192" customFormat="1">
      <c r="A198" s="185">
        <v>8</v>
      </c>
      <c r="B198" s="183" t="s">
        <v>283</v>
      </c>
      <c r="C198" s="181">
        <v>1</v>
      </c>
      <c r="D198" s="251" t="s">
        <v>162</v>
      </c>
      <c r="E198" s="182"/>
      <c r="F198" s="182">
        <f t="shared" si="32"/>
        <v>0</v>
      </c>
      <c r="G198" s="187">
        <f>SUM(F191:F198)</f>
        <v>0</v>
      </c>
      <c r="H198" s="191"/>
    </row>
    <row r="199" spans="1:11" s="192" customFormat="1">
      <c r="A199" s="168"/>
      <c r="B199" s="178"/>
      <c r="C199" s="176"/>
      <c r="D199" s="250"/>
      <c r="E199" s="169"/>
      <c r="F199" s="182"/>
      <c r="G199" s="169"/>
      <c r="H199" s="191"/>
    </row>
    <row r="200" spans="1:11" s="192" customFormat="1">
      <c r="A200" s="184" t="s">
        <v>172</v>
      </c>
      <c r="B200" s="186" t="s">
        <v>116</v>
      </c>
      <c r="C200" s="181"/>
      <c r="D200" s="251"/>
      <c r="E200" s="186"/>
      <c r="F200" s="182"/>
      <c r="G200" s="186"/>
      <c r="H200" s="191"/>
    </row>
    <row r="201" spans="1:11" s="192" customFormat="1">
      <c r="A201" s="185">
        <v>1</v>
      </c>
      <c r="B201" s="183" t="s">
        <v>180</v>
      </c>
      <c r="C201" s="253">
        <v>12</v>
      </c>
      <c r="D201" s="251" t="s">
        <v>117</v>
      </c>
      <c r="E201" s="253"/>
      <c r="F201" s="182">
        <f t="shared" si="32"/>
        <v>0</v>
      </c>
      <c r="G201" s="254"/>
      <c r="H201" s="191"/>
    </row>
    <row r="202" spans="1:11" s="192" customFormat="1">
      <c r="A202" s="185">
        <v>2</v>
      </c>
      <c r="B202" s="183" t="s">
        <v>182</v>
      </c>
      <c r="C202" s="253">
        <v>4</v>
      </c>
      <c r="D202" s="251" t="s">
        <v>117</v>
      </c>
      <c r="E202" s="253"/>
      <c r="F202" s="182">
        <f t="shared" si="32"/>
        <v>0</v>
      </c>
      <c r="G202" s="254"/>
      <c r="H202" s="191"/>
    </row>
    <row r="203" spans="1:11" s="192" customFormat="1">
      <c r="A203" s="185">
        <v>3</v>
      </c>
      <c r="B203" s="183" t="s">
        <v>181</v>
      </c>
      <c r="C203" s="253">
        <v>4</v>
      </c>
      <c r="D203" s="251" t="s">
        <v>117</v>
      </c>
      <c r="E203" s="253"/>
      <c r="F203" s="182">
        <f t="shared" si="32"/>
        <v>0</v>
      </c>
      <c r="G203" s="254"/>
      <c r="H203" s="191"/>
    </row>
    <row r="204" spans="1:11" s="173" customFormat="1">
      <c r="A204" s="185">
        <v>4</v>
      </c>
      <c r="B204" s="183" t="s">
        <v>164</v>
      </c>
      <c r="C204" s="290">
        <v>22</v>
      </c>
      <c r="D204" s="251" t="s">
        <v>117</v>
      </c>
      <c r="E204" s="253"/>
      <c r="F204" s="182">
        <f t="shared" si="32"/>
        <v>0</v>
      </c>
      <c r="G204" s="254"/>
      <c r="H204" s="191"/>
      <c r="I204" s="192"/>
      <c r="J204" s="192"/>
      <c r="K204" s="192"/>
    </row>
    <row r="205" spans="1:11" s="192" customFormat="1">
      <c r="A205" s="185">
        <v>5</v>
      </c>
      <c r="B205" s="183" t="s">
        <v>183</v>
      </c>
      <c r="C205" s="253">
        <v>1</v>
      </c>
      <c r="D205" s="251" t="s">
        <v>117</v>
      </c>
      <c r="E205" s="253"/>
      <c r="F205" s="182">
        <f t="shared" si="32"/>
        <v>0</v>
      </c>
      <c r="G205" s="254"/>
      <c r="H205" s="191"/>
      <c r="I205" s="173"/>
      <c r="J205" s="173"/>
      <c r="K205" s="173"/>
    </row>
    <row r="206" spans="1:11" s="192" customFormat="1">
      <c r="A206" s="185">
        <v>6</v>
      </c>
      <c r="B206" s="190" t="s">
        <v>165</v>
      </c>
      <c r="C206" s="188">
        <v>4</v>
      </c>
      <c r="D206" s="251" t="s">
        <v>117</v>
      </c>
      <c r="E206" s="182"/>
      <c r="F206" s="182">
        <f t="shared" si="32"/>
        <v>0</v>
      </c>
      <c r="G206" s="254"/>
      <c r="H206" s="172"/>
    </row>
    <row r="207" spans="1:11" s="192" customFormat="1">
      <c r="A207" s="185">
        <v>7</v>
      </c>
      <c r="B207" s="190" t="s">
        <v>300</v>
      </c>
      <c r="C207" s="257">
        <v>5</v>
      </c>
      <c r="D207" s="251" t="s">
        <v>117</v>
      </c>
      <c r="E207" s="182"/>
      <c r="F207" s="182">
        <f t="shared" ref="F207" si="33">ROUND(C207*E207,2)</f>
        <v>0</v>
      </c>
      <c r="G207" s="254"/>
      <c r="H207" s="172"/>
    </row>
    <row r="208" spans="1:11" s="192" customFormat="1">
      <c r="A208" s="185">
        <v>8</v>
      </c>
      <c r="B208" s="190" t="s">
        <v>298</v>
      </c>
      <c r="C208" s="257">
        <v>7</v>
      </c>
      <c r="D208" s="251" t="s">
        <v>117</v>
      </c>
      <c r="E208" s="182"/>
      <c r="F208" s="182">
        <f t="shared" si="32"/>
        <v>0</v>
      </c>
      <c r="G208" s="254"/>
      <c r="H208" s="172"/>
    </row>
    <row r="209" spans="1:11" s="192" customFormat="1">
      <c r="A209" s="185">
        <v>9</v>
      </c>
      <c r="B209" s="190" t="s">
        <v>301</v>
      </c>
      <c r="C209" s="188">
        <v>1</v>
      </c>
      <c r="D209" s="251" t="s">
        <v>117</v>
      </c>
      <c r="E209" s="171"/>
      <c r="F209" s="182">
        <f t="shared" ref="F209" si="34">ROUND(C209*E209,2)</f>
        <v>0</v>
      </c>
      <c r="G209" s="254"/>
      <c r="H209" s="172"/>
    </row>
    <row r="210" spans="1:11" s="192" customFormat="1">
      <c r="A210" s="185">
        <v>10</v>
      </c>
      <c r="B210" s="190" t="s">
        <v>302</v>
      </c>
      <c r="C210" s="188">
        <v>1</v>
      </c>
      <c r="D210" s="251" t="s">
        <v>117</v>
      </c>
      <c r="E210" s="171"/>
      <c r="F210" s="182">
        <f t="shared" si="32"/>
        <v>0</v>
      </c>
      <c r="G210" s="254"/>
      <c r="H210" s="172"/>
    </row>
    <row r="211" spans="1:11" s="192" customFormat="1">
      <c r="A211" s="185">
        <v>11</v>
      </c>
      <c r="B211" s="183" t="s">
        <v>303</v>
      </c>
      <c r="C211" s="188">
        <v>1</v>
      </c>
      <c r="D211" s="251" t="s">
        <v>117</v>
      </c>
      <c r="E211" s="182"/>
      <c r="F211" s="182">
        <f t="shared" si="32"/>
        <v>0</v>
      </c>
      <c r="G211" s="254"/>
      <c r="H211" s="191"/>
    </row>
    <row r="212" spans="1:11" s="192" customFormat="1">
      <c r="A212" s="185">
        <v>12</v>
      </c>
      <c r="B212" s="294" t="s">
        <v>299</v>
      </c>
      <c r="C212" s="257">
        <v>1</v>
      </c>
      <c r="D212" s="279" t="s">
        <v>162</v>
      </c>
      <c r="E212" s="258"/>
      <c r="F212" s="182">
        <f t="shared" ref="F212" si="35">ROUND(C212*E212,2)</f>
        <v>0</v>
      </c>
      <c r="G212" s="187"/>
      <c r="H212" s="191"/>
    </row>
    <row r="213" spans="1:11" s="192" customFormat="1">
      <c r="A213" s="185">
        <v>13</v>
      </c>
      <c r="B213" s="183" t="s">
        <v>304</v>
      </c>
      <c r="C213" s="257">
        <v>1</v>
      </c>
      <c r="D213" s="279" t="s">
        <v>162</v>
      </c>
      <c r="E213" s="258"/>
      <c r="F213" s="182">
        <f t="shared" ref="F213" si="36">ROUND(C213*E213,2)</f>
        <v>0</v>
      </c>
      <c r="G213" s="187"/>
      <c r="H213" s="191"/>
    </row>
    <row r="214" spans="1:11" s="192" customFormat="1">
      <c r="A214" s="185">
        <v>14</v>
      </c>
      <c r="B214" s="183" t="s">
        <v>305</v>
      </c>
      <c r="C214" s="257">
        <v>1</v>
      </c>
      <c r="D214" s="279" t="s">
        <v>162</v>
      </c>
      <c r="E214" s="258"/>
      <c r="F214" s="182">
        <f t="shared" si="32"/>
        <v>0</v>
      </c>
      <c r="G214" s="187">
        <f>SUM(F201:F214)</f>
        <v>0</v>
      </c>
      <c r="H214" s="191"/>
    </row>
    <row r="215" spans="1:11" s="192" customFormat="1">
      <c r="A215" s="177"/>
      <c r="B215" s="178"/>
      <c r="C215" s="170"/>
      <c r="D215" s="250"/>
      <c r="E215" s="170"/>
      <c r="F215" s="182"/>
      <c r="G215" s="175"/>
      <c r="H215" s="191"/>
    </row>
    <row r="216" spans="1:11" s="192" customFormat="1">
      <c r="A216" s="243" t="s">
        <v>266</v>
      </c>
      <c r="B216" s="244" t="s">
        <v>125</v>
      </c>
      <c r="C216" s="263"/>
      <c r="D216" s="264"/>
      <c r="E216" s="244"/>
      <c r="F216" s="246"/>
      <c r="G216" s="244"/>
      <c r="H216" s="191"/>
    </row>
    <row r="217" spans="1:11" s="192" customFormat="1">
      <c r="A217" s="184" t="s">
        <v>88</v>
      </c>
      <c r="B217" s="186" t="s">
        <v>147</v>
      </c>
      <c r="C217" s="188"/>
      <c r="D217" s="251"/>
      <c r="E217" s="186"/>
      <c r="F217" s="182"/>
      <c r="G217" s="186"/>
      <c r="H217" s="191"/>
    </row>
    <row r="218" spans="1:11" s="192" customFormat="1">
      <c r="A218" s="185">
        <v>1</v>
      </c>
      <c r="B218" s="190" t="s">
        <v>175</v>
      </c>
      <c r="C218" s="181">
        <v>1</v>
      </c>
      <c r="D218" s="251" t="s">
        <v>162</v>
      </c>
      <c r="E218" s="188"/>
      <c r="F218" s="182">
        <f t="shared" ref="F218:F284" si="37">ROUND(C218*E218,2)</f>
        <v>0</v>
      </c>
      <c r="G218" s="187"/>
      <c r="H218" s="191"/>
    </row>
    <row r="219" spans="1:11" s="173" customFormat="1">
      <c r="A219" s="185">
        <v>2</v>
      </c>
      <c r="B219" s="262" t="s">
        <v>387</v>
      </c>
      <c r="C219" s="181">
        <f>ROUND(11.95*2.95,2)</f>
        <v>35.25</v>
      </c>
      <c r="D219" s="251" t="s">
        <v>87</v>
      </c>
      <c r="E219" s="188"/>
      <c r="F219" s="182">
        <f t="shared" si="37"/>
        <v>0</v>
      </c>
      <c r="G219" s="187"/>
      <c r="H219" s="191"/>
      <c r="I219" s="192"/>
      <c r="J219" s="192"/>
      <c r="K219" s="192"/>
    </row>
    <row r="220" spans="1:11" s="192" customFormat="1">
      <c r="A220" s="185">
        <v>3</v>
      </c>
      <c r="B220" s="190" t="s">
        <v>207</v>
      </c>
      <c r="C220" s="181">
        <f>ROUND(1.35*2.42,2)</f>
        <v>3.27</v>
      </c>
      <c r="D220" s="251" t="s">
        <v>87</v>
      </c>
      <c r="E220" s="188"/>
      <c r="F220" s="182">
        <f t="shared" si="37"/>
        <v>0</v>
      </c>
      <c r="G220" s="187"/>
      <c r="H220" s="191"/>
      <c r="I220" s="173"/>
      <c r="J220" s="173"/>
      <c r="K220" s="173"/>
    </row>
    <row r="221" spans="1:11" s="192" customFormat="1">
      <c r="A221" s="185">
        <v>4</v>
      </c>
      <c r="B221" s="262" t="s">
        <v>388</v>
      </c>
      <c r="C221" s="181">
        <f>ROUND(2.45*0.86*0.6,2)</f>
        <v>1.26</v>
      </c>
      <c r="D221" s="251" t="s">
        <v>215</v>
      </c>
      <c r="E221" s="188"/>
      <c r="F221" s="182">
        <f t="shared" si="37"/>
        <v>0</v>
      </c>
      <c r="G221" s="187"/>
      <c r="H221" s="172"/>
    </row>
    <row r="222" spans="1:11" s="192" customFormat="1">
      <c r="A222" s="185">
        <v>5</v>
      </c>
      <c r="B222" s="190" t="s">
        <v>239</v>
      </c>
      <c r="C222" s="181">
        <f>ROUND(((C219*0.1)+(C221))*1.5,2)</f>
        <v>7.18</v>
      </c>
      <c r="D222" s="251" t="s">
        <v>168</v>
      </c>
      <c r="E222" s="188"/>
      <c r="F222" s="182">
        <f t="shared" si="37"/>
        <v>0</v>
      </c>
      <c r="G222" s="187">
        <f>SUM(F218:F222)</f>
        <v>0</v>
      </c>
      <c r="H222" s="191"/>
    </row>
    <row r="223" spans="1:11" s="192" customFormat="1">
      <c r="A223" s="174"/>
      <c r="B223" s="242"/>
      <c r="C223" s="170"/>
      <c r="D223" s="251"/>
      <c r="E223" s="170"/>
      <c r="F223" s="182"/>
      <c r="G223" s="169"/>
      <c r="H223" s="191"/>
    </row>
    <row r="224" spans="1:11" s="192" customFormat="1">
      <c r="A224" s="184" t="s">
        <v>107</v>
      </c>
      <c r="B224" s="186" t="s">
        <v>124</v>
      </c>
      <c r="C224" s="188"/>
      <c r="D224" s="251"/>
      <c r="E224" s="188"/>
      <c r="F224" s="182"/>
      <c r="G224" s="186"/>
      <c r="H224" s="191"/>
    </row>
    <row r="225" spans="1:11" s="173" customFormat="1" ht="25.5">
      <c r="A225" s="185">
        <v>1</v>
      </c>
      <c r="B225" s="183" t="s">
        <v>238</v>
      </c>
      <c r="C225" s="188">
        <v>1</v>
      </c>
      <c r="D225" s="251" t="s">
        <v>162</v>
      </c>
      <c r="E225" s="188"/>
      <c r="F225" s="182">
        <f t="shared" si="37"/>
        <v>0</v>
      </c>
      <c r="G225" s="186"/>
      <c r="H225" s="191"/>
      <c r="I225" s="192"/>
      <c r="J225" s="192"/>
      <c r="K225" s="192"/>
    </row>
    <row r="226" spans="1:11" s="173" customFormat="1" ht="25.5">
      <c r="A226" s="185">
        <v>2</v>
      </c>
      <c r="B226" s="262" t="s">
        <v>345</v>
      </c>
      <c r="C226" s="181">
        <f>ROUND(11.95*2.95,2)</f>
        <v>35.25</v>
      </c>
      <c r="D226" s="251" t="s">
        <v>87</v>
      </c>
      <c r="E226" s="188"/>
      <c r="F226" s="182">
        <f t="shared" si="37"/>
        <v>0</v>
      </c>
      <c r="G226" s="186"/>
      <c r="H226" s="191"/>
    </row>
    <row r="227" spans="1:11" s="173" customFormat="1">
      <c r="A227" s="185">
        <v>3</v>
      </c>
      <c r="B227" s="272" t="s">
        <v>320</v>
      </c>
      <c r="C227" s="181">
        <f>ROUND(11.95*2.95,2)</f>
        <v>35.25</v>
      </c>
      <c r="D227" s="251" t="s">
        <v>87</v>
      </c>
      <c r="E227" s="188"/>
      <c r="F227" s="182">
        <f t="shared" si="37"/>
        <v>0</v>
      </c>
      <c r="G227" s="187">
        <f>SUM(F225:F227)</f>
        <v>0</v>
      </c>
      <c r="H227" s="172"/>
    </row>
    <row r="228" spans="1:11" s="173" customFormat="1">
      <c r="A228" s="185"/>
      <c r="B228" s="190"/>
      <c r="C228" s="181"/>
      <c r="D228" s="251"/>
      <c r="E228" s="188"/>
      <c r="F228" s="182"/>
      <c r="G228" s="187"/>
      <c r="H228" s="172"/>
    </row>
    <row r="229" spans="1:11" s="173" customFormat="1">
      <c r="A229" s="184" t="s">
        <v>108</v>
      </c>
      <c r="B229" s="186" t="s">
        <v>169</v>
      </c>
      <c r="C229" s="188"/>
      <c r="D229" s="184"/>
      <c r="E229" s="186"/>
      <c r="F229" s="182"/>
      <c r="G229" s="186"/>
      <c r="H229" s="172"/>
    </row>
    <row r="230" spans="1:11" s="173" customFormat="1">
      <c r="A230" s="185">
        <v>1</v>
      </c>
      <c r="B230" s="262" t="s">
        <v>350</v>
      </c>
      <c r="C230" s="181">
        <f>ROUND(11.95*3.3,2)</f>
        <v>39.44</v>
      </c>
      <c r="D230" s="251" t="s">
        <v>87</v>
      </c>
      <c r="E230" s="188"/>
      <c r="F230" s="182">
        <f t="shared" si="37"/>
        <v>0</v>
      </c>
      <c r="G230" s="186"/>
      <c r="H230" s="172"/>
    </row>
    <row r="231" spans="1:11" s="192" customFormat="1">
      <c r="A231" s="185">
        <v>2</v>
      </c>
      <c r="B231" s="262" t="s">
        <v>351</v>
      </c>
      <c r="C231" s="188">
        <v>12</v>
      </c>
      <c r="D231" s="251" t="s">
        <v>167</v>
      </c>
      <c r="E231" s="182"/>
      <c r="F231" s="182">
        <f t="shared" si="37"/>
        <v>0</v>
      </c>
      <c r="G231" s="187"/>
      <c r="H231" s="172"/>
      <c r="I231" s="173"/>
      <c r="J231" s="173"/>
      <c r="K231" s="173"/>
    </row>
    <row r="232" spans="1:11" s="173" customFormat="1">
      <c r="A232" s="185">
        <v>3</v>
      </c>
      <c r="B232" s="183" t="s">
        <v>208</v>
      </c>
      <c r="C232" s="188">
        <f>ROUND((2.3*2*2)+(0.6*2*2)+(0.6*2*2)+(0.6*2*2),2)</f>
        <v>16.399999999999999</v>
      </c>
      <c r="D232" s="251" t="s">
        <v>167</v>
      </c>
      <c r="E232" s="182"/>
      <c r="F232" s="182">
        <f t="shared" si="37"/>
        <v>0</v>
      </c>
      <c r="G232" s="187"/>
      <c r="H232" s="172"/>
      <c r="I232" s="192"/>
      <c r="J232" s="192"/>
      <c r="K232" s="192"/>
    </row>
    <row r="233" spans="1:11" s="173" customFormat="1">
      <c r="A233" s="185">
        <v>4</v>
      </c>
      <c r="B233" s="183" t="s">
        <v>209</v>
      </c>
      <c r="C233" s="188">
        <f>ROUND((2.3*2*2*2)+(0.6*2*2*2)+(0.6*2*2*2)+(0.6*2*2*2)+(2.4*2),2)</f>
        <v>37.6</v>
      </c>
      <c r="D233" s="251" t="s">
        <v>167</v>
      </c>
      <c r="E233" s="182"/>
      <c r="F233" s="182">
        <f t="shared" si="37"/>
        <v>0</v>
      </c>
      <c r="G233" s="187">
        <f>SUM(F230:F233)</f>
        <v>0</v>
      </c>
      <c r="H233" s="191"/>
    </row>
    <row r="234" spans="1:11" s="192" customFormat="1">
      <c r="A234" s="168"/>
      <c r="B234" s="183"/>
      <c r="C234" s="188"/>
      <c r="D234" s="251"/>
      <c r="E234" s="182"/>
      <c r="F234" s="182"/>
      <c r="G234" s="187"/>
      <c r="H234" s="172"/>
      <c r="I234" s="173"/>
      <c r="J234" s="173"/>
      <c r="K234" s="173"/>
    </row>
    <row r="235" spans="1:11" s="192" customFormat="1">
      <c r="A235" s="184" t="s">
        <v>109</v>
      </c>
      <c r="B235" s="186" t="s">
        <v>127</v>
      </c>
      <c r="C235" s="188"/>
      <c r="D235" s="184"/>
      <c r="E235" s="186"/>
      <c r="F235" s="182"/>
      <c r="G235" s="186"/>
      <c r="H235" s="172"/>
    </row>
    <row r="236" spans="1:11" s="192" customFormat="1">
      <c r="A236" s="193">
        <v>1</v>
      </c>
      <c r="B236" s="262" t="s">
        <v>413</v>
      </c>
      <c r="C236" s="181">
        <f>ROUND(12.2*3.3,2)</f>
        <v>40.26</v>
      </c>
      <c r="D236" s="251" t="s">
        <v>87</v>
      </c>
      <c r="E236" s="182"/>
      <c r="F236" s="182">
        <f t="shared" si="37"/>
        <v>0</v>
      </c>
      <c r="G236" s="187">
        <f>SUM(F236)</f>
        <v>0</v>
      </c>
      <c r="H236" s="191"/>
    </row>
    <row r="237" spans="1:11" s="192" customFormat="1">
      <c r="A237" s="177"/>
      <c r="B237" s="178"/>
      <c r="C237" s="170"/>
      <c r="D237" s="251"/>
      <c r="E237" s="169"/>
      <c r="F237" s="182"/>
      <c r="G237" s="169"/>
      <c r="H237" s="191"/>
    </row>
    <row r="238" spans="1:11" s="192" customFormat="1">
      <c r="A238" s="194" t="s">
        <v>110</v>
      </c>
      <c r="B238" s="186" t="s">
        <v>120</v>
      </c>
      <c r="C238" s="181"/>
      <c r="D238" s="251"/>
      <c r="E238" s="186"/>
      <c r="F238" s="182"/>
      <c r="G238" s="186"/>
      <c r="H238" s="191"/>
    </row>
    <row r="239" spans="1:11" s="173" customFormat="1">
      <c r="A239" s="193">
        <v>1</v>
      </c>
      <c r="B239" s="190" t="s">
        <v>205</v>
      </c>
      <c r="C239" s="181">
        <f>ROUND(3.05*11.95,2)</f>
        <v>36.450000000000003</v>
      </c>
      <c r="D239" s="251" t="s">
        <v>87</v>
      </c>
      <c r="E239" s="182"/>
      <c r="F239" s="182">
        <f t="shared" si="37"/>
        <v>0</v>
      </c>
      <c r="G239" s="186"/>
      <c r="H239" s="191"/>
      <c r="I239" s="192"/>
      <c r="J239" s="192"/>
      <c r="K239" s="192"/>
    </row>
    <row r="240" spans="1:11" s="192" customFormat="1">
      <c r="A240" s="193">
        <v>2</v>
      </c>
      <c r="B240" s="183" t="s">
        <v>160</v>
      </c>
      <c r="C240" s="181">
        <f>ROUND((11.95*2.4)+((2.6+2.4)/2)*2.95*8-(0.6*0.6*2)-(0.6*2.3*2)-(1.8*2.95*9)-(11.95*1.8),2)</f>
        <v>14.9</v>
      </c>
      <c r="D240" s="251" t="s">
        <v>87</v>
      </c>
      <c r="E240" s="182"/>
      <c r="F240" s="182">
        <f t="shared" si="37"/>
        <v>0</v>
      </c>
      <c r="G240" s="186"/>
      <c r="H240" s="191"/>
      <c r="I240" s="173"/>
      <c r="J240" s="173"/>
      <c r="K240" s="173"/>
    </row>
    <row r="241" spans="1:11" s="192" customFormat="1">
      <c r="A241" s="193">
        <v>3</v>
      </c>
      <c r="B241" s="183" t="s">
        <v>184</v>
      </c>
      <c r="C241" s="181">
        <f>ROUND(12.2*3.3,2)</f>
        <v>40.26</v>
      </c>
      <c r="D241" s="251" t="s">
        <v>87</v>
      </c>
      <c r="E241" s="182"/>
      <c r="F241" s="182">
        <f t="shared" si="37"/>
        <v>0</v>
      </c>
      <c r="G241" s="186"/>
      <c r="H241" s="172"/>
    </row>
    <row r="242" spans="1:11" s="173" customFormat="1">
      <c r="A242" s="193">
        <v>4</v>
      </c>
      <c r="B242" s="183" t="s">
        <v>161</v>
      </c>
      <c r="C242" s="181">
        <f>ROUND((11.95*2.4)+((2.6+2.4)/2)*2.95*2-(0.6*0.6*2)-(0.6*2.3*2),2)</f>
        <v>39.950000000000003</v>
      </c>
      <c r="D242" s="251" t="s">
        <v>87</v>
      </c>
      <c r="E242" s="182"/>
      <c r="F242" s="182">
        <f t="shared" si="37"/>
        <v>0</v>
      </c>
      <c r="G242" s="187">
        <f>SUM(F239:F242)</f>
        <v>0</v>
      </c>
      <c r="H242" s="191"/>
      <c r="I242" s="192"/>
      <c r="J242" s="192"/>
      <c r="K242" s="192"/>
    </row>
    <row r="243" spans="1:11" s="192" customFormat="1">
      <c r="A243" s="168"/>
      <c r="B243" s="178"/>
      <c r="C243" s="170"/>
      <c r="D243" s="251"/>
      <c r="E243" s="169"/>
      <c r="F243" s="182"/>
      <c r="G243" s="169"/>
      <c r="H243" s="191"/>
      <c r="I243" s="173"/>
      <c r="J243" s="173"/>
      <c r="K243" s="173"/>
    </row>
    <row r="244" spans="1:11" s="192" customFormat="1">
      <c r="A244" s="184" t="s">
        <v>111</v>
      </c>
      <c r="B244" s="180" t="s">
        <v>128</v>
      </c>
      <c r="C244" s="188"/>
      <c r="D244" s="251"/>
      <c r="E244" s="186"/>
      <c r="F244" s="182"/>
      <c r="G244" s="186"/>
      <c r="H244" s="172"/>
    </row>
    <row r="245" spans="1:11" s="192" customFormat="1">
      <c r="A245" s="193">
        <v>1</v>
      </c>
      <c r="B245" s="272" t="s">
        <v>297</v>
      </c>
      <c r="C245" s="181">
        <f>ROUND(((2.95*8*1.18)+(1.35*4*1.8)+(4*2*1.8)+(4.5*2*1.8)-(0.9*1.8*4)+(1.3*1.8*14)+(0.3*7*1.8)+(0.35*7*1.8)),2)</f>
        <v>102.64</v>
      </c>
      <c r="D245" s="251" t="s">
        <v>87</v>
      </c>
      <c r="E245" s="188"/>
      <c r="F245" s="182">
        <f t="shared" si="37"/>
        <v>0</v>
      </c>
      <c r="G245" s="187">
        <f>SUM(F245)</f>
        <v>0</v>
      </c>
      <c r="H245" s="191"/>
    </row>
    <row r="246" spans="1:11" s="192" customFormat="1">
      <c r="A246" s="168"/>
      <c r="B246" s="178"/>
      <c r="C246" s="170"/>
      <c r="D246" s="251"/>
      <c r="E246" s="169"/>
      <c r="F246" s="182"/>
      <c r="G246" s="169"/>
      <c r="H246" s="191"/>
    </row>
    <row r="247" spans="1:11" s="192" customFormat="1">
      <c r="A247" s="184" t="s">
        <v>119</v>
      </c>
      <c r="B247" s="186" t="s">
        <v>138</v>
      </c>
      <c r="C247" s="181"/>
      <c r="D247" s="251"/>
      <c r="E247" s="186"/>
      <c r="F247" s="182"/>
      <c r="G247" s="186"/>
      <c r="H247" s="191"/>
    </row>
    <row r="248" spans="1:11" s="173" customFormat="1">
      <c r="A248" s="185">
        <v>1</v>
      </c>
      <c r="B248" s="190" t="s">
        <v>327</v>
      </c>
      <c r="C248" s="181">
        <v>2</v>
      </c>
      <c r="D248" s="251" t="s">
        <v>117</v>
      </c>
      <c r="E248" s="182"/>
      <c r="F248" s="182">
        <f t="shared" si="37"/>
        <v>0</v>
      </c>
      <c r="G248" s="186"/>
      <c r="H248" s="191"/>
      <c r="I248" s="192"/>
      <c r="J248" s="192"/>
      <c r="K248" s="192"/>
    </row>
    <row r="249" spans="1:11" s="192" customFormat="1" ht="25.5">
      <c r="A249" s="185">
        <v>2</v>
      </c>
      <c r="B249" s="262" t="s">
        <v>352</v>
      </c>
      <c r="C249" s="181">
        <v>4</v>
      </c>
      <c r="D249" s="251" t="s">
        <v>117</v>
      </c>
      <c r="E249" s="182"/>
      <c r="F249" s="182">
        <f t="shared" si="37"/>
        <v>0</v>
      </c>
      <c r="G249" s="186"/>
      <c r="H249" s="191" t="s">
        <v>135</v>
      </c>
      <c r="I249" s="173"/>
      <c r="J249" s="173"/>
      <c r="K249" s="173"/>
    </row>
    <row r="250" spans="1:11" s="192" customFormat="1">
      <c r="A250" s="185">
        <v>3</v>
      </c>
      <c r="B250" s="190" t="s">
        <v>328</v>
      </c>
      <c r="C250" s="181">
        <v>8</v>
      </c>
      <c r="D250" s="251" t="s">
        <v>117</v>
      </c>
      <c r="E250" s="182"/>
      <c r="F250" s="182">
        <f t="shared" si="37"/>
        <v>0</v>
      </c>
      <c r="G250" s="186"/>
      <c r="H250" s="172"/>
    </row>
    <row r="251" spans="1:11" s="192" customFormat="1" ht="25.5">
      <c r="A251" s="185">
        <v>4</v>
      </c>
      <c r="B251" s="262" t="s">
        <v>353</v>
      </c>
      <c r="C251" s="181">
        <v>8</v>
      </c>
      <c r="D251" s="251" t="s">
        <v>117</v>
      </c>
      <c r="E251" s="182"/>
      <c r="F251" s="182">
        <f t="shared" si="37"/>
        <v>0</v>
      </c>
      <c r="G251" s="187">
        <f>SUM(F248:F251)</f>
        <v>0</v>
      </c>
      <c r="H251" s="191"/>
    </row>
    <row r="252" spans="1:11" s="173" customFormat="1">
      <c r="A252" s="174"/>
      <c r="B252" s="178"/>
      <c r="C252" s="176"/>
      <c r="D252" s="251"/>
      <c r="E252" s="171"/>
      <c r="F252" s="182"/>
      <c r="G252" s="175"/>
      <c r="H252" s="191"/>
      <c r="I252" s="192"/>
      <c r="J252" s="192"/>
      <c r="K252" s="192"/>
    </row>
    <row r="253" spans="1:11" s="192" customFormat="1">
      <c r="A253" s="184" t="s">
        <v>121</v>
      </c>
      <c r="B253" s="186" t="s">
        <v>123</v>
      </c>
      <c r="C253" s="181"/>
      <c r="D253" s="251"/>
      <c r="E253" s="182"/>
      <c r="F253" s="182"/>
      <c r="G253" s="186"/>
      <c r="H253" s="191"/>
      <c r="I253" s="173"/>
      <c r="J253" s="173"/>
      <c r="K253" s="173"/>
    </row>
    <row r="254" spans="1:11" s="192" customFormat="1">
      <c r="A254" s="185">
        <v>1</v>
      </c>
      <c r="B254" s="262" t="s">
        <v>375</v>
      </c>
      <c r="C254" s="188">
        <f>ROUND((2.3*0.6*2)+(0.6*0.6*2),2)</f>
        <v>3.48</v>
      </c>
      <c r="D254" s="251" t="s">
        <v>87</v>
      </c>
      <c r="E254" s="182"/>
      <c r="F254" s="182">
        <f t="shared" si="37"/>
        <v>0</v>
      </c>
      <c r="G254" s="186"/>
      <c r="H254" s="172"/>
    </row>
    <row r="255" spans="1:11" s="192" customFormat="1" ht="25.5">
      <c r="A255" s="185">
        <v>2</v>
      </c>
      <c r="B255" s="262" t="s">
        <v>374</v>
      </c>
      <c r="C255" s="188">
        <f>ROUND((2.3*0.6*2)+(0.6*0.6*2),2)</f>
        <v>3.48</v>
      </c>
      <c r="D255" s="251" t="s">
        <v>87</v>
      </c>
      <c r="E255" s="182"/>
      <c r="F255" s="182">
        <f t="shared" si="37"/>
        <v>0</v>
      </c>
      <c r="G255" s="195">
        <f>SUM(F254:F255)</f>
        <v>0</v>
      </c>
      <c r="H255" s="191"/>
    </row>
    <row r="256" spans="1:11" s="192" customFormat="1">
      <c r="A256" s="174"/>
      <c r="B256" s="178"/>
      <c r="C256" s="176"/>
      <c r="D256" s="251"/>
      <c r="E256" s="169"/>
      <c r="F256" s="182"/>
      <c r="G256" s="169"/>
      <c r="H256" s="191"/>
    </row>
    <row r="257" spans="1:11" s="192" customFormat="1">
      <c r="A257" s="184" t="s">
        <v>159</v>
      </c>
      <c r="B257" s="186" t="s">
        <v>118</v>
      </c>
      <c r="C257" s="181"/>
      <c r="D257" s="251"/>
      <c r="E257" s="186"/>
      <c r="F257" s="182"/>
      <c r="G257" s="186"/>
      <c r="H257" s="191"/>
    </row>
    <row r="258" spans="1:11" s="192" customFormat="1">
      <c r="A258" s="185">
        <v>1</v>
      </c>
      <c r="B258" s="190" t="s">
        <v>154</v>
      </c>
      <c r="C258" s="181">
        <v>8</v>
      </c>
      <c r="D258" s="251" t="s">
        <v>117</v>
      </c>
      <c r="E258" s="182"/>
      <c r="F258" s="182">
        <f t="shared" si="37"/>
        <v>0</v>
      </c>
      <c r="G258" s="186"/>
      <c r="H258" s="191"/>
    </row>
    <row r="259" spans="1:11" s="192" customFormat="1">
      <c r="A259" s="185">
        <v>2</v>
      </c>
      <c r="B259" s="190" t="s">
        <v>206</v>
      </c>
      <c r="C259" s="181">
        <v>1</v>
      </c>
      <c r="D259" s="251" t="s">
        <v>117</v>
      </c>
      <c r="E259" s="182"/>
      <c r="F259" s="182">
        <f t="shared" si="37"/>
        <v>0</v>
      </c>
      <c r="G259" s="186"/>
      <c r="H259" s="191"/>
    </row>
    <row r="260" spans="1:11" s="192" customFormat="1">
      <c r="A260" s="185">
        <v>3</v>
      </c>
      <c r="B260" s="183" t="s">
        <v>136</v>
      </c>
      <c r="C260" s="181">
        <v>10</v>
      </c>
      <c r="D260" s="251" t="s">
        <v>117</v>
      </c>
      <c r="E260" s="182"/>
      <c r="F260" s="182">
        <f t="shared" si="37"/>
        <v>0</v>
      </c>
      <c r="G260" s="186"/>
      <c r="H260" s="191"/>
    </row>
    <row r="261" spans="1:11" s="173" customFormat="1">
      <c r="A261" s="185">
        <v>4</v>
      </c>
      <c r="B261" s="183" t="s">
        <v>137</v>
      </c>
      <c r="C261" s="181">
        <v>9</v>
      </c>
      <c r="D261" s="251" t="s">
        <v>117</v>
      </c>
      <c r="E261" s="182"/>
      <c r="F261" s="182">
        <f t="shared" si="37"/>
        <v>0</v>
      </c>
      <c r="G261" s="186"/>
      <c r="H261" s="191"/>
      <c r="I261" s="192"/>
      <c r="J261" s="192"/>
      <c r="K261" s="192"/>
    </row>
    <row r="262" spans="1:11" s="173" customFormat="1">
      <c r="A262" s="185">
        <v>5</v>
      </c>
      <c r="B262" s="183" t="s">
        <v>155</v>
      </c>
      <c r="C262" s="181">
        <v>2</v>
      </c>
      <c r="D262" s="251" t="s">
        <v>117</v>
      </c>
      <c r="E262" s="182"/>
      <c r="F262" s="182">
        <f t="shared" si="37"/>
        <v>0</v>
      </c>
      <c r="G262" s="186"/>
      <c r="H262" s="191"/>
      <c r="I262" s="192"/>
      <c r="J262" s="192"/>
      <c r="K262" s="192"/>
    </row>
    <row r="263" spans="1:11" s="192" customFormat="1">
      <c r="A263" s="185">
        <v>6</v>
      </c>
      <c r="B263" s="183" t="s">
        <v>148</v>
      </c>
      <c r="C263" s="181">
        <v>4</v>
      </c>
      <c r="D263" s="251" t="s">
        <v>117</v>
      </c>
      <c r="E263" s="182"/>
      <c r="F263" s="182">
        <f t="shared" si="37"/>
        <v>0</v>
      </c>
      <c r="G263" s="187"/>
      <c r="H263" s="191"/>
      <c r="I263" s="173"/>
      <c r="J263" s="173"/>
      <c r="K263" s="173"/>
    </row>
    <row r="264" spans="1:11" s="192" customFormat="1" ht="25.5">
      <c r="A264" s="185">
        <v>7</v>
      </c>
      <c r="B264" s="262" t="s">
        <v>346</v>
      </c>
      <c r="C264" s="278">
        <v>1</v>
      </c>
      <c r="D264" s="279" t="s">
        <v>4</v>
      </c>
      <c r="E264" s="258"/>
      <c r="F264" s="258">
        <f t="shared" si="37"/>
        <v>0</v>
      </c>
      <c r="G264" s="187"/>
      <c r="H264" s="172"/>
    </row>
    <row r="265" spans="1:11" s="192" customFormat="1">
      <c r="A265" s="185">
        <v>8</v>
      </c>
      <c r="B265" s="183" t="s">
        <v>237</v>
      </c>
      <c r="C265" s="181">
        <v>1</v>
      </c>
      <c r="D265" s="251" t="s">
        <v>162</v>
      </c>
      <c r="E265" s="171"/>
      <c r="F265" s="182">
        <f t="shared" si="37"/>
        <v>0</v>
      </c>
      <c r="G265" s="187">
        <f>SUM(F258:F265)</f>
        <v>0</v>
      </c>
      <c r="H265" s="191"/>
    </row>
    <row r="266" spans="1:11" s="192" customFormat="1">
      <c r="A266" s="168"/>
      <c r="B266" s="169"/>
      <c r="C266" s="176"/>
      <c r="D266" s="251"/>
      <c r="E266" s="169"/>
      <c r="F266" s="182"/>
      <c r="G266" s="169"/>
      <c r="H266" s="191"/>
    </row>
    <row r="267" spans="1:11" s="173" customFormat="1">
      <c r="A267" s="184" t="s">
        <v>178</v>
      </c>
      <c r="B267" s="186" t="s">
        <v>116</v>
      </c>
      <c r="C267" s="181"/>
      <c r="D267" s="251"/>
      <c r="E267" s="186"/>
      <c r="F267" s="182"/>
      <c r="G267" s="186"/>
      <c r="H267" s="191"/>
      <c r="I267" s="192"/>
      <c r="J267" s="192"/>
      <c r="K267" s="192"/>
    </row>
    <row r="268" spans="1:11" s="173" customFormat="1">
      <c r="A268" s="185">
        <v>1</v>
      </c>
      <c r="B268" s="183" t="s">
        <v>130</v>
      </c>
      <c r="C268" s="181">
        <v>6</v>
      </c>
      <c r="D268" s="251" t="s">
        <v>117</v>
      </c>
      <c r="E268" s="182"/>
      <c r="F268" s="182">
        <f t="shared" si="37"/>
        <v>0</v>
      </c>
      <c r="G268" s="186"/>
      <c r="H268" s="191"/>
    </row>
    <row r="269" spans="1:11" s="192" customFormat="1">
      <c r="A269" s="185">
        <v>2</v>
      </c>
      <c r="B269" s="183" t="s">
        <v>295</v>
      </c>
      <c r="C269" s="181">
        <v>2</v>
      </c>
      <c r="D269" s="251" t="s">
        <v>117</v>
      </c>
      <c r="E269" s="182"/>
      <c r="F269" s="182">
        <f t="shared" si="37"/>
        <v>0</v>
      </c>
      <c r="G269" s="187"/>
      <c r="H269" s="172"/>
      <c r="I269" s="173"/>
      <c r="J269" s="173"/>
      <c r="K269" s="173"/>
    </row>
    <row r="270" spans="1:11" s="192" customFormat="1">
      <c r="A270" s="185">
        <v>3</v>
      </c>
      <c r="B270" s="183" t="s">
        <v>296</v>
      </c>
      <c r="C270" s="181">
        <v>2</v>
      </c>
      <c r="D270" s="251" t="s">
        <v>117</v>
      </c>
      <c r="E270" s="253"/>
      <c r="F270" s="182">
        <f t="shared" ref="F270:F271" si="38">ROUND(C270*E270,2)</f>
        <v>0</v>
      </c>
      <c r="G270" s="187"/>
      <c r="H270" s="172"/>
    </row>
    <row r="271" spans="1:11" s="192" customFormat="1">
      <c r="A271" s="185">
        <v>4</v>
      </c>
      <c r="B271" s="183" t="s">
        <v>306</v>
      </c>
      <c r="C271" s="188">
        <v>1</v>
      </c>
      <c r="D271" s="251" t="s">
        <v>117</v>
      </c>
      <c r="E271" s="258"/>
      <c r="F271" s="182">
        <f t="shared" si="38"/>
        <v>0</v>
      </c>
      <c r="G271" s="254"/>
      <c r="H271" s="191"/>
    </row>
    <row r="272" spans="1:11" s="192" customFormat="1">
      <c r="A272" s="185">
        <v>5</v>
      </c>
      <c r="B272" s="183" t="s">
        <v>304</v>
      </c>
      <c r="C272" s="181">
        <v>1</v>
      </c>
      <c r="D272" s="251" t="s">
        <v>162</v>
      </c>
      <c r="E272" s="253"/>
      <c r="F272" s="182">
        <f t="shared" si="37"/>
        <v>0</v>
      </c>
      <c r="G272" s="187">
        <f>SUM(F268:F272)</f>
        <v>0</v>
      </c>
      <c r="H272" s="172"/>
    </row>
    <row r="273" spans="1:11" s="192" customFormat="1">
      <c r="A273" s="174"/>
      <c r="B273" s="178"/>
      <c r="C273" s="176"/>
      <c r="D273" s="251"/>
      <c r="E273" s="171"/>
      <c r="F273" s="182"/>
      <c r="G273" s="175"/>
      <c r="H273" s="191"/>
    </row>
    <row r="274" spans="1:11" s="192" customFormat="1">
      <c r="A274" s="243" t="s">
        <v>267</v>
      </c>
      <c r="B274" s="244" t="s">
        <v>131</v>
      </c>
      <c r="C274" s="263"/>
      <c r="D274" s="264"/>
      <c r="E274" s="244"/>
      <c r="F274" s="246"/>
      <c r="G274" s="244"/>
      <c r="H274" s="191"/>
    </row>
    <row r="275" spans="1:11" s="192" customFormat="1">
      <c r="A275" s="184" t="s">
        <v>88</v>
      </c>
      <c r="B275" s="186" t="s">
        <v>147</v>
      </c>
      <c r="C275" s="188"/>
      <c r="D275" s="251"/>
      <c r="E275" s="186"/>
      <c r="F275" s="182"/>
      <c r="G275" s="186"/>
      <c r="H275" s="191"/>
    </row>
    <row r="276" spans="1:11" s="192" customFormat="1">
      <c r="A276" s="193">
        <v>1</v>
      </c>
      <c r="B276" s="262" t="s">
        <v>419</v>
      </c>
      <c r="C276" s="188">
        <f>ROUND(3.85*5.9,2)</f>
        <v>22.72</v>
      </c>
      <c r="D276" s="251" t="s">
        <v>87</v>
      </c>
      <c r="E276" s="182"/>
      <c r="F276" s="182">
        <f t="shared" si="37"/>
        <v>0</v>
      </c>
      <c r="G276" s="187"/>
      <c r="H276" s="191"/>
    </row>
    <row r="277" spans="1:11" s="192" customFormat="1">
      <c r="A277" s="193">
        <v>2</v>
      </c>
      <c r="B277" s="183" t="s">
        <v>236</v>
      </c>
      <c r="C277" s="188">
        <f>ROUND(4.22*6.6,2)</f>
        <v>27.85</v>
      </c>
      <c r="D277" s="251" t="s">
        <v>87</v>
      </c>
      <c r="E277" s="182"/>
      <c r="F277" s="182">
        <f t="shared" si="37"/>
        <v>0</v>
      </c>
      <c r="G277" s="187"/>
      <c r="H277" s="191"/>
    </row>
    <row r="278" spans="1:11" s="173" customFormat="1">
      <c r="A278" s="193">
        <v>3</v>
      </c>
      <c r="B278" s="183" t="s">
        <v>235</v>
      </c>
      <c r="C278" s="188">
        <f>ROUND(6.2,2)</f>
        <v>6.2</v>
      </c>
      <c r="D278" s="251" t="s">
        <v>174</v>
      </c>
      <c r="E278" s="182"/>
      <c r="F278" s="182">
        <f t="shared" si="37"/>
        <v>0</v>
      </c>
      <c r="G278" s="187"/>
      <c r="H278" s="191"/>
      <c r="I278" s="192"/>
      <c r="J278" s="192"/>
      <c r="K278" s="192"/>
    </row>
    <row r="279" spans="1:11" s="192" customFormat="1">
      <c r="A279" s="193">
        <v>4</v>
      </c>
      <c r="B279" s="262" t="s">
        <v>389</v>
      </c>
      <c r="C279" s="188">
        <f>ROUND((1.42*2.8)+(0.2*0.4*3),2)</f>
        <v>4.22</v>
      </c>
      <c r="D279" s="251" t="s">
        <v>87</v>
      </c>
      <c r="E279" s="188"/>
      <c r="F279" s="182">
        <f t="shared" si="37"/>
        <v>0</v>
      </c>
      <c r="G279" s="187"/>
      <c r="H279" s="191"/>
      <c r="I279" s="173"/>
      <c r="J279" s="173"/>
      <c r="K279" s="173"/>
    </row>
    <row r="280" spans="1:11" s="192" customFormat="1">
      <c r="A280" s="193">
        <v>5</v>
      </c>
      <c r="B280" s="183" t="s">
        <v>234</v>
      </c>
      <c r="C280" s="188">
        <f>ROUND((3.85*0.6)+(1),2)</f>
        <v>3.31</v>
      </c>
      <c r="D280" s="251" t="s">
        <v>87</v>
      </c>
      <c r="E280" s="188"/>
      <c r="F280" s="182">
        <f t="shared" si="37"/>
        <v>0</v>
      </c>
      <c r="G280" s="187"/>
      <c r="H280" s="172"/>
    </row>
    <row r="281" spans="1:11" s="192" customFormat="1">
      <c r="A281" s="193">
        <v>6</v>
      </c>
      <c r="B281" s="183" t="s">
        <v>171</v>
      </c>
      <c r="C281" s="188">
        <f>ROUND(((C276*0.15)+(C277*0.05)+(C278*0.0015)+(C279*0.15)+(C280*0.05))*1.5,2)</f>
        <v>8.41</v>
      </c>
      <c r="D281" s="251" t="s">
        <v>168</v>
      </c>
      <c r="E281" s="182"/>
      <c r="F281" s="182">
        <f t="shared" si="37"/>
        <v>0</v>
      </c>
      <c r="G281" s="187">
        <f>SUM(F276:F281)</f>
        <v>0</v>
      </c>
      <c r="H281" s="191"/>
    </row>
    <row r="282" spans="1:11" s="192" customFormat="1">
      <c r="A282" s="177"/>
      <c r="B282" s="178"/>
      <c r="C282" s="170"/>
      <c r="D282" s="250"/>
      <c r="E282" s="171"/>
      <c r="F282" s="182"/>
      <c r="G282" s="175"/>
      <c r="H282" s="191"/>
    </row>
    <row r="283" spans="1:11" s="192" customFormat="1">
      <c r="A283" s="194" t="s">
        <v>107</v>
      </c>
      <c r="B283" s="180" t="s">
        <v>156</v>
      </c>
      <c r="C283" s="188"/>
      <c r="D283" s="251"/>
      <c r="E283" s="182"/>
      <c r="F283" s="182"/>
      <c r="G283" s="187"/>
      <c r="H283" s="191"/>
    </row>
    <row r="284" spans="1:11" s="192" customFormat="1" ht="25.5">
      <c r="A284" s="193">
        <v>1</v>
      </c>
      <c r="B284" s="183" t="s">
        <v>329</v>
      </c>
      <c r="C284" s="188">
        <f>ROUND(3.85*5.9,2)</f>
        <v>22.72</v>
      </c>
      <c r="D284" s="251" t="s">
        <v>87</v>
      </c>
      <c r="E284" s="188"/>
      <c r="F284" s="182">
        <f t="shared" si="37"/>
        <v>0</v>
      </c>
      <c r="G284" s="187">
        <f>SUM(F284)</f>
        <v>0</v>
      </c>
      <c r="H284" s="191"/>
    </row>
    <row r="285" spans="1:11" s="192" customFormat="1">
      <c r="A285" s="193"/>
      <c r="B285" s="183"/>
      <c r="C285" s="188"/>
      <c r="D285" s="251"/>
      <c r="E285" s="188"/>
      <c r="F285" s="182"/>
      <c r="G285" s="187"/>
      <c r="H285" s="191"/>
    </row>
    <row r="286" spans="1:11" s="192" customFormat="1">
      <c r="A286" s="194" t="s">
        <v>108</v>
      </c>
      <c r="B286" s="186" t="s">
        <v>177</v>
      </c>
      <c r="C286" s="170"/>
      <c r="D286" s="168"/>
      <c r="E286" s="169"/>
      <c r="F286" s="182"/>
      <c r="G286" s="169"/>
      <c r="H286" s="191"/>
    </row>
    <row r="287" spans="1:11" s="192" customFormat="1">
      <c r="A287" s="193">
        <v>1</v>
      </c>
      <c r="B287" s="262" t="s">
        <v>390</v>
      </c>
      <c r="C287" s="188">
        <f>ROUND((1.42*2.8)+(0.2*0.4*3),2)</f>
        <v>4.22</v>
      </c>
      <c r="D287" s="251" t="s">
        <v>87</v>
      </c>
      <c r="E287" s="188"/>
      <c r="F287" s="182">
        <f t="shared" ref="F287:F333" si="39">ROUND(C287*E287,2)</f>
        <v>0</v>
      </c>
      <c r="G287" s="187">
        <f>SUM(F287)</f>
        <v>0</v>
      </c>
      <c r="H287" s="191"/>
    </row>
    <row r="288" spans="1:11" s="173" customFormat="1">
      <c r="A288" s="193"/>
      <c r="B288" s="183"/>
      <c r="C288" s="188"/>
      <c r="D288" s="251"/>
      <c r="E288" s="182"/>
      <c r="F288" s="182"/>
      <c r="G288" s="187"/>
      <c r="H288" s="191"/>
      <c r="I288" s="192"/>
      <c r="J288" s="192"/>
      <c r="K288" s="192"/>
    </row>
    <row r="289" spans="1:11" s="192" customFormat="1">
      <c r="A289" s="194" t="s">
        <v>109</v>
      </c>
      <c r="B289" s="186" t="s">
        <v>152</v>
      </c>
      <c r="C289" s="188"/>
      <c r="D289" s="184"/>
      <c r="E289" s="186"/>
      <c r="F289" s="182"/>
      <c r="G289" s="186"/>
      <c r="H289" s="191"/>
      <c r="I289" s="173"/>
      <c r="J289" s="173"/>
      <c r="K289" s="173"/>
    </row>
    <row r="290" spans="1:11" s="192" customFormat="1">
      <c r="A290" s="193">
        <v>1</v>
      </c>
      <c r="B290" s="190" t="s">
        <v>223</v>
      </c>
      <c r="C290" s="188">
        <f>ROUND((3.85*0.6)+(1),2)</f>
        <v>3.31</v>
      </c>
      <c r="D290" s="251" t="s">
        <v>87</v>
      </c>
      <c r="E290" s="182"/>
      <c r="F290" s="182">
        <f t="shared" si="39"/>
        <v>0</v>
      </c>
      <c r="G290" s="190"/>
      <c r="H290" s="172"/>
    </row>
    <row r="291" spans="1:11" s="192" customFormat="1">
      <c r="A291" s="193">
        <v>2</v>
      </c>
      <c r="B291" s="183" t="s">
        <v>210</v>
      </c>
      <c r="C291" s="188">
        <f>ROUND((3.85*0.6)+(1),2)</f>
        <v>3.31</v>
      </c>
      <c r="D291" s="251" t="s">
        <v>87</v>
      </c>
      <c r="E291" s="182"/>
      <c r="F291" s="182">
        <f t="shared" si="39"/>
        <v>0</v>
      </c>
      <c r="G291" s="187">
        <f>SUM(F290:F291)</f>
        <v>0</v>
      </c>
      <c r="H291" s="191"/>
    </row>
    <row r="292" spans="1:11" s="173" customFormat="1">
      <c r="A292" s="177"/>
      <c r="B292" s="178"/>
      <c r="C292" s="176"/>
      <c r="D292" s="250"/>
      <c r="E292" s="171"/>
      <c r="F292" s="182"/>
      <c r="G292" s="175"/>
      <c r="H292" s="191"/>
      <c r="I292" s="192"/>
      <c r="J292" s="192"/>
      <c r="K292" s="192"/>
    </row>
    <row r="293" spans="1:11" s="192" customFormat="1">
      <c r="A293" s="194" t="s">
        <v>110</v>
      </c>
      <c r="B293" s="186" t="s">
        <v>169</v>
      </c>
      <c r="C293" s="188"/>
      <c r="D293" s="184"/>
      <c r="E293" s="186"/>
      <c r="F293" s="182"/>
      <c r="G293" s="186"/>
      <c r="H293" s="191"/>
      <c r="I293" s="173"/>
      <c r="J293" s="173"/>
      <c r="K293" s="173"/>
    </row>
    <row r="294" spans="1:11" s="192" customFormat="1">
      <c r="A294" s="193">
        <v>1</v>
      </c>
      <c r="B294" s="262" t="s">
        <v>350</v>
      </c>
      <c r="C294" s="188">
        <f>ROUND(4.22*6.6,2)</f>
        <v>27.85</v>
      </c>
      <c r="D294" s="251" t="s">
        <v>87</v>
      </c>
      <c r="E294" s="188"/>
      <c r="F294" s="182">
        <f t="shared" si="39"/>
        <v>0</v>
      </c>
      <c r="G294" s="186"/>
      <c r="H294" s="172"/>
    </row>
    <row r="295" spans="1:11" s="173" customFormat="1">
      <c r="A295" s="193">
        <v>2</v>
      </c>
      <c r="B295" s="262" t="s">
        <v>351</v>
      </c>
      <c r="C295" s="188">
        <f>ROUND(6.2,2)</f>
        <v>6.2</v>
      </c>
      <c r="D295" s="251" t="s">
        <v>167</v>
      </c>
      <c r="E295" s="182"/>
      <c r="F295" s="182">
        <f t="shared" si="39"/>
        <v>0</v>
      </c>
      <c r="G295" s="187">
        <f>SUM(F294:F295)</f>
        <v>0</v>
      </c>
      <c r="H295" s="191"/>
      <c r="I295" s="192"/>
      <c r="J295" s="192"/>
      <c r="K295" s="192"/>
    </row>
    <row r="296" spans="1:11" s="192" customFormat="1">
      <c r="A296" s="177"/>
      <c r="B296" s="178"/>
      <c r="C296" s="170"/>
      <c r="D296" s="250"/>
      <c r="E296" s="171"/>
      <c r="F296" s="182"/>
      <c r="G296" s="175"/>
      <c r="H296" s="191"/>
      <c r="I296" s="173"/>
      <c r="J296" s="173"/>
      <c r="K296" s="173"/>
    </row>
    <row r="297" spans="1:11" s="192" customFormat="1">
      <c r="A297" s="194" t="s">
        <v>111</v>
      </c>
      <c r="B297" s="186" t="s">
        <v>185</v>
      </c>
      <c r="C297" s="188"/>
      <c r="D297" s="251"/>
      <c r="E297" s="182"/>
      <c r="F297" s="182"/>
      <c r="G297" s="187"/>
      <c r="H297" s="172"/>
    </row>
    <row r="298" spans="1:11" s="192" customFormat="1">
      <c r="A298" s="193">
        <v>1</v>
      </c>
      <c r="B298" s="262" t="s">
        <v>414</v>
      </c>
      <c r="C298" s="188">
        <f>ROUND(4.22*6.6,2)</f>
        <v>27.85</v>
      </c>
      <c r="D298" s="251" t="s">
        <v>87</v>
      </c>
      <c r="E298" s="188"/>
      <c r="F298" s="182">
        <f t="shared" si="39"/>
        <v>0</v>
      </c>
      <c r="G298" s="187">
        <f>SUM(F298)</f>
        <v>0</v>
      </c>
      <c r="H298" s="191"/>
    </row>
    <row r="299" spans="1:11" s="192" customFormat="1">
      <c r="A299" s="177"/>
      <c r="B299" s="178"/>
      <c r="C299" s="170"/>
      <c r="D299" s="250"/>
      <c r="E299" s="171"/>
      <c r="F299" s="182"/>
      <c r="G299" s="175"/>
      <c r="H299" s="191"/>
    </row>
    <row r="300" spans="1:11" s="192" customFormat="1">
      <c r="A300" s="194" t="s">
        <v>119</v>
      </c>
      <c r="B300" s="186" t="s">
        <v>120</v>
      </c>
      <c r="C300" s="181"/>
      <c r="D300" s="251"/>
      <c r="E300" s="186"/>
      <c r="F300" s="182"/>
      <c r="G300" s="186"/>
      <c r="H300" s="191"/>
    </row>
    <row r="301" spans="1:11" s="192" customFormat="1">
      <c r="A301" s="193">
        <v>1</v>
      </c>
      <c r="B301" s="190" t="s">
        <v>214</v>
      </c>
      <c r="C301" s="181">
        <f>ROUND((5.9*2.7)-(1.8*2.6)+((2.7+2.3)/2*3.85),2)</f>
        <v>20.88</v>
      </c>
      <c r="D301" s="251" t="s">
        <v>87</v>
      </c>
      <c r="E301" s="182"/>
      <c r="F301" s="182">
        <f t="shared" si="39"/>
        <v>0</v>
      </c>
      <c r="G301" s="186"/>
      <c r="H301" s="191"/>
    </row>
    <row r="302" spans="1:11" s="192" customFormat="1">
      <c r="A302" s="193">
        <v>2</v>
      </c>
      <c r="B302" s="183" t="s">
        <v>212</v>
      </c>
      <c r="C302" s="188">
        <f>ROUND(((2.7+2.3)/2*3.85)*2+(5.9*2.3),2)</f>
        <v>32.82</v>
      </c>
      <c r="D302" s="251" t="s">
        <v>87</v>
      </c>
      <c r="E302" s="182"/>
      <c r="F302" s="182">
        <f t="shared" si="39"/>
        <v>0</v>
      </c>
      <c r="G302" s="186"/>
      <c r="H302" s="191"/>
    </row>
    <row r="303" spans="1:11" s="192" customFormat="1">
      <c r="A303" s="193">
        <v>3</v>
      </c>
      <c r="B303" s="183" t="s">
        <v>213</v>
      </c>
      <c r="C303" s="188">
        <f>ROUND(((2.7+2.3)/2*3.85)*2+(5.9*2.3),2)</f>
        <v>32.82</v>
      </c>
      <c r="D303" s="251" t="s">
        <v>87</v>
      </c>
      <c r="E303" s="182"/>
      <c r="F303" s="182">
        <f t="shared" si="39"/>
        <v>0</v>
      </c>
      <c r="G303" s="187"/>
      <c r="H303" s="191"/>
    </row>
    <row r="304" spans="1:11" s="192" customFormat="1">
      <c r="A304" s="193">
        <v>4</v>
      </c>
      <c r="B304" s="183" t="s">
        <v>211</v>
      </c>
      <c r="C304" s="188">
        <f>ROUND((5.9*3.85)+(0.6*3.85),2)</f>
        <v>25.03</v>
      </c>
      <c r="D304" s="251" t="s">
        <v>87</v>
      </c>
      <c r="E304" s="182"/>
      <c r="F304" s="182">
        <f t="shared" si="39"/>
        <v>0</v>
      </c>
      <c r="G304" s="187">
        <f>SUM(F301:F304)</f>
        <v>0</v>
      </c>
      <c r="H304" s="191"/>
    </row>
    <row r="305" spans="1:11" s="192" customFormat="1">
      <c r="A305" s="193"/>
      <c r="B305" s="183"/>
      <c r="C305" s="188"/>
      <c r="D305" s="251"/>
      <c r="E305" s="182"/>
      <c r="F305" s="182"/>
      <c r="G305" s="187"/>
      <c r="H305" s="191"/>
    </row>
    <row r="306" spans="1:11" s="192" customFormat="1">
      <c r="A306" s="194" t="s">
        <v>121</v>
      </c>
      <c r="B306" s="186" t="s">
        <v>138</v>
      </c>
      <c r="C306" s="181"/>
      <c r="D306" s="251"/>
      <c r="E306" s="186"/>
      <c r="F306" s="182"/>
      <c r="G306" s="187"/>
      <c r="H306" s="191"/>
    </row>
    <row r="307" spans="1:11" s="192" customFormat="1">
      <c r="A307" s="193">
        <v>1</v>
      </c>
      <c r="B307" s="183" t="s">
        <v>284</v>
      </c>
      <c r="C307" s="181">
        <f>ROUND(1.8*2.6,2)</f>
        <v>4.68</v>
      </c>
      <c r="D307" s="251" t="s">
        <v>87</v>
      </c>
      <c r="E307" s="182"/>
      <c r="F307" s="182">
        <f t="shared" si="39"/>
        <v>0</v>
      </c>
      <c r="G307" s="187">
        <f>SUM(F307)</f>
        <v>0</v>
      </c>
      <c r="H307" s="191"/>
    </row>
    <row r="308" spans="1:11" s="173" customFormat="1">
      <c r="A308" s="193"/>
      <c r="B308" s="183"/>
      <c r="C308" s="188"/>
      <c r="D308" s="251"/>
      <c r="E308" s="182"/>
      <c r="F308" s="182"/>
      <c r="G308" s="187"/>
      <c r="H308" s="191"/>
      <c r="I308" s="192"/>
      <c r="J308" s="192"/>
      <c r="K308" s="192"/>
    </row>
    <row r="309" spans="1:11" s="192" customFormat="1">
      <c r="A309" s="184" t="s">
        <v>159</v>
      </c>
      <c r="B309" s="186" t="s">
        <v>116</v>
      </c>
      <c r="C309" s="181"/>
      <c r="D309" s="251"/>
      <c r="E309" s="186"/>
      <c r="F309" s="182"/>
      <c r="G309" s="186"/>
      <c r="H309" s="191"/>
      <c r="I309" s="173"/>
      <c r="J309" s="173"/>
      <c r="K309" s="173"/>
    </row>
    <row r="310" spans="1:11" s="192" customFormat="1">
      <c r="A310" s="185">
        <v>1</v>
      </c>
      <c r="B310" s="183" t="s">
        <v>130</v>
      </c>
      <c r="C310" s="181">
        <v>2</v>
      </c>
      <c r="D310" s="251" t="s">
        <v>117</v>
      </c>
      <c r="E310" s="182"/>
      <c r="F310" s="182">
        <f t="shared" si="39"/>
        <v>0</v>
      </c>
      <c r="G310" s="186"/>
      <c r="H310" s="172"/>
    </row>
    <row r="311" spans="1:11" s="192" customFormat="1">
      <c r="A311" s="185">
        <v>2</v>
      </c>
      <c r="B311" s="183" t="s">
        <v>295</v>
      </c>
      <c r="C311" s="181">
        <v>1</v>
      </c>
      <c r="D311" s="251" t="s">
        <v>117</v>
      </c>
      <c r="E311" s="182"/>
      <c r="F311" s="182">
        <f t="shared" si="39"/>
        <v>0</v>
      </c>
      <c r="G311" s="187">
        <f>SUM(F310:F311)</f>
        <v>0</v>
      </c>
      <c r="H311" s="191"/>
    </row>
    <row r="312" spans="1:11" s="192" customFormat="1">
      <c r="A312" s="174"/>
      <c r="B312" s="178"/>
      <c r="C312" s="176"/>
      <c r="D312" s="250"/>
      <c r="E312" s="171"/>
      <c r="F312" s="182"/>
      <c r="G312" s="175"/>
      <c r="H312" s="191"/>
    </row>
    <row r="313" spans="1:11" s="192" customFormat="1">
      <c r="A313" s="243" t="s">
        <v>268</v>
      </c>
      <c r="B313" s="265" t="s">
        <v>218</v>
      </c>
      <c r="C313" s="245"/>
      <c r="D313" s="264"/>
      <c r="E313" s="246"/>
      <c r="F313" s="246"/>
      <c r="G313" s="266"/>
      <c r="H313" s="191"/>
    </row>
    <row r="314" spans="1:11" s="192" customFormat="1">
      <c r="A314" s="184" t="s">
        <v>88</v>
      </c>
      <c r="B314" s="180" t="s">
        <v>147</v>
      </c>
      <c r="C314" s="181"/>
      <c r="D314" s="251"/>
      <c r="E314" s="182"/>
      <c r="F314" s="182"/>
      <c r="G314" s="187"/>
      <c r="H314" s="191"/>
    </row>
    <row r="315" spans="1:11" s="192" customFormat="1">
      <c r="A315" s="185">
        <v>1</v>
      </c>
      <c r="B315" s="183" t="s">
        <v>186</v>
      </c>
      <c r="C315" s="181">
        <v>1</v>
      </c>
      <c r="D315" s="251" t="s">
        <v>162</v>
      </c>
      <c r="E315" s="182"/>
      <c r="F315" s="182">
        <f t="shared" si="39"/>
        <v>0</v>
      </c>
      <c r="G315" s="255"/>
      <c r="H315" s="191"/>
    </row>
    <row r="316" spans="1:11" s="192" customFormat="1">
      <c r="A316" s="185">
        <v>2</v>
      </c>
      <c r="B316" s="183" t="s">
        <v>420</v>
      </c>
      <c r="C316" s="181">
        <f>ROUND((24.28*10.7)+(5*4.51),2)</f>
        <v>282.35000000000002</v>
      </c>
      <c r="D316" s="251" t="s">
        <v>87</v>
      </c>
      <c r="E316" s="188"/>
      <c r="F316" s="182">
        <f t="shared" si="39"/>
        <v>0</v>
      </c>
      <c r="G316" s="255"/>
      <c r="H316" s="191"/>
    </row>
    <row r="317" spans="1:11" s="192" customFormat="1">
      <c r="A317" s="185">
        <v>3</v>
      </c>
      <c r="B317" s="262" t="s">
        <v>391</v>
      </c>
      <c r="C317" s="181">
        <f>ROUND((10.35*0.6)+(8.05*0.6)+(9.55*2.4)+(6.27*0.6)+(5*0.6)+(4.21*0.6)+(25.7*3.65)-(2*1.02*3)-(1.86*2.7)-(2*2.8)*2-(1.5*2.8)-(2.6*2.8)-(1.22*1.55)-(0.73*1.21)-(3.18*1.22)+(3.02*4.21)+(5.95*3.92*2),2)</f>
        <v>155.94</v>
      </c>
      <c r="D317" s="251" t="s">
        <v>87</v>
      </c>
      <c r="E317" s="188"/>
      <c r="F317" s="182">
        <f t="shared" si="39"/>
        <v>0</v>
      </c>
      <c r="G317" s="255"/>
      <c r="H317" s="191"/>
    </row>
    <row r="318" spans="1:11" s="192" customFormat="1">
      <c r="A318" s="185">
        <v>4</v>
      </c>
      <c r="B318" s="262" t="s">
        <v>392</v>
      </c>
      <c r="C318" s="181">
        <f>ROUND(0.55*0.55*4.15,2)</f>
        <v>1.26</v>
      </c>
      <c r="D318" s="251" t="s">
        <v>215</v>
      </c>
      <c r="E318" s="188"/>
      <c r="F318" s="182">
        <f t="shared" si="39"/>
        <v>0</v>
      </c>
      <c r="G318" s="255"/>
      <c r="H318" s="191"/>
    </row>
    <row r="319" spans="1:11" s="192" customFormat="1">
      <c r="A319" s="185">
        <v>5</v>
      </c>
      <c r="B319" s="183" t="s">
        <v>421</v>
      </c>
      <c r="C319" s="181">
        <f>ROUND(0.65*4.15,2)</f>
        <v>2.7</v>
      </c>
      <c r="D319" s="251" t="s">
        <v>216</v>
      </c>
      <c r="E319" s="182"/>
      <c r="F319" s="182">
        <f t="shared" si="39"/>
        <v>0</v>
      </c>
      <c r="G319" s="255"/>
      <c r="H319" s="191"/>
    </row>
    <row r="320" spans="1:11" s="192" customFormat="1" ht="25.5">
      <c r="A320" s="185">
        <v>6</v>
      </c>
      <c r="B320" s="262" t="s">
        <v>393</v>
      </c>
      <c r="C320" s="181">
        <f>ROUND((1.15*4.15)+(0.65*0.81*4),2)</f>
        <v>6.88</v>
      </c>
      <c r="D320" s="251" t="s">
        <v>216</v>
      </c>
      <c r="E320" s="188"/>
      <c r="F320" s="182">
        <f t="shared" si="39"/>
        <v>0</v>
      </c>
      <c r="G320" s="255"/>
      <c r="H320" s="191"/>
    </row>
    <row r="321" spans="1:16" s="173" customFormat="1">
      <c r="A321" s="185">
        <v>7</v>
      </c>
      <c r="B321" s="183" t="s">
        <v>233</v>
      </c>
      <c r="C321" s="181">
        <f>ROUND(24.7,2)</f>
        <v>24.7</v>
      </c>
      <c r="D321" s="251" t="s">
        <v>174</v>
      </c>
      <c r="E321" s="182"/>
      <c r="F321" s="182">
        <f t="shared" si="39"/>
        <v>0</v>
      </c>
      <c r="G321" s="255"/>
      <c r="H321" s="191"/>
      <c r="I321" s="192"/>
      <c r="J321" s="192"/>
      <c r="K321" s="192"/>
    </row>
    <row r="322" spans="1:16" s="173" customFormat="1">
      <c r="A322" s="185">
        <v>8</v>
      </c>
      <c r="B322" s="262" t="s">
        <v>394</v>
      </c>
      <c r="C322" s="181">
        <f>ROUND(((8.05*1.8)+(10.35*1.8)+(2.4*1.8)+(6.27*1.8)+(4.21*2*1.8)+(5*1.8)+(10.35*1.8)/2),2)</f>
        <v>82.2</v>
      </c>
      <c r="D322" s="251" t="s">
        <v>216</v>
      </c>
      <c r="E322" s="182"/>
      <c r="F322" s="182">
        <f t="shared" si="39"/>
        <v>0</v>
      </c>
      <c r="G322" s="255"/>
      <c r="H322" s="191"/>
    </row>
    <row r="323" spans="1:16" s="173" customFormat="1" ht="25.5">
      <c r="A323" s="185">
        <v>9</v>
      </c>
      <c r="B323" s="183" t="s">
        <v>217</v>
      </c>
      <c r="C323" s="181">
        <f>ROUND(10.79*24.7,2)</f>
        <v>266.51</v>
      </c>
      <c r="D323" s="251" t="s">
        <v>216</v>
      </c>
      <c r="E323" s="182"/>
      <c r="F323" s="182">
        <f t="shared" si="39"/>
        <v>0</v>
      </c>
      <c r="G323" s="255"/>
      <c r="H323" s="172"/>
    </row>
    <row r="324" spans="1:16" s="241" customFormat="1">
      <c r="A324" s="185">
        <v>10</v>
      </c>
      <c r="B324" s="183" t="s">
        <v>173</v>
      </c>
      <c r="C324" s="181">
        <f>ROUND(((C316*0.12)+(C317*0.15)+(C318)+(C319*0.1)+(C320*0.15)+(C321*0.0012))*1.5,2)</f>
        <v>89.8</v>
      </c>
      <c r="D324" s="251" t="s">
        <v>168</v>
      </c>
      <c r="E324" s="182"/>
      <c r="F324" s="182">
        <f t="shared" si="39"/>
        <v>0</v>
      </c>
      <c r="G324" s="187">
        <f>SUM(F315:F324)</f>
        <v>0</v>
      </c>
      <c r="H324" s="256"/>
    </row>
    <row r="325" spans="1:16" s="192" customFormat="1">
      <c r="A325" s="168"/>
      <c r="B325" s="179"/>
      <c r="C325" s="176"/>
      <c r="D325" s="250"/>
      <c r="E325" s="171"/>
      <c r="F325" s="182"/>
      <c r="G325" s="175"/>
      <c r="H325" s="191"/>
    </row>
    <row r="326" spans="1:16" s="192" customFormat="1">
      <c r="A326" s="184" t="s">
        <v>107</v>
      </c>
      <c r="B326" s="186" t="s">
        <v>219</v>
      </c>
      <c r="C326" s="259"/>
      <c r="D326" s="184"/>
      <c r="E326" s="195"/>
      <c r="F326" s="195"/>
      <c r="G326" s="187"/>
      <c r="H326" s="191"/>
    </row>
    <row r="327" spans="1:16" s="192" customFormat="1">
      <c r="A327" s="185">
        <v>1</v>
      </c>
      <c r="B327" s="262" t="s">
        <v>395</v>
      </c>
      <c r="C327" s="188">
        <f>ROUND((4*0.7*(1.2^2)),2)</f>
        <v>4.03</v>
      </c>
      <c r="D327" s="185" t="s">
        <v>149</v>
      </c>
      <c r="E327" s="258"/>
      <c r="F327" s="182">
        <f t="shared" si="39"/>
        <v>0</v>
      </c>
      <c r="G327" s="187"/>
      <c r="H327" s="191"/>
    </row>
    <row r="328" spans="1:16" s="192" customFormat="1">
      <c r="A328" s="185">
        <v>2</v>
      </c>
      <c r="B328" s="262" t="s">
        <v>396</v>
      </c>
      <c r="C328" s="188">
        <f>ROUND((5*0.7*(0.8^2)),2)</f>
        <v>2.2400000000000002</v>
      </c>
      <c r="D328" s="185" t="s">
        <v>149</v>
      </c>
      <c r="E328" s="258"/>
      <c r="F328" s="182">
        <f t="shared" si="39"/>
        <v>0</v>
      </c>
      <c r="G328" s="187"/>
      <c r="H328" s="191"/>
    </row>
    <row r="329" spans="1:16" s="192" customFormat="1" ht="25.5">
      <c r="A329" s="185">
        <v>3</v>
      </c>
      <c r="B329" s="262" t="s">
        <v>397</v>
      </c>
      <c r="C329" s="188">
        <f>ROUND((5*6.1)*0.45*0.65,2)</f>
        <v>8.92</v>
      </c>
      <c r="D329" s="185" t="s">
        <v>149</v>
      </c>
      <c r="E329" s="258"/>
      <c r="F329" s="182">
        <f t="shared" si="39"/>
        <v>0</v>
      </c>
      <c r="G329" s="187"/>
      <c r="H329" s="191"/>
    </row>
    <row r="330" spans="1:16" s="192" customFormat="1" ht="25.5">
      <c r="A330" s="185">
        <v>4</v>
      </c>
      <c r="B330" s="262" t="s">
        <v>398</v>
      </c>
      <c r="C330" s="188">
        <f>ROUND((4*0.4*(1.2^2)),2)</f>
        <v>2.2999999999999998</v>
      </c>
      <c r="D330" s="185" t="s">
        <v>149</v>
      </c>
      <c r="E330" s="258"/>
      <c r="F330" s="182">
        <f t="shared" si="39"/>
        <v>0</v>
      </c>
      <c r="G330" s="187"/>
      <c r="H330" s="191"/>
    </row>
    <row r="331" spans="1:16" s="192" customFormat="1" ht="25.5">
      <c r="A331" s="185">
        <v>5</v>
      </c>
      <c r="B331" s="262" t="s">
        <v>399</v>
      </c>
      <c r="C331" s="188">
        <f>ROUND((5*0.4*(0.8^2)),2)</f>
        <v>1.28</v>
      </c>
      <c r="D331" s="185" t="s">
        <v>149</v>
      </c>
      <c r="E331" s="258"/>
      <c r="F331" s="182">
        <f t="shared" ref="F331" si="40">ROUND(C331*E331,2)</f>
        <v>0</v>
      </c>
      <c r="G331" s="187"/>
      <c r="H331" s="191"/>
    </row>
    <row r="332" spans="1:16" s="192" customFormat="1" ht="25.5">
      <c r="A332" s="185">
        <v>6</v>
      </c>
      <c r="B332" s="262" t="s">
        <v>400</v>
      </c>
      <c r="C332" s="188">
        <f>ROUND((5*6.1)*0.45*0.4,2)</f>
        <v>5.49</v>
      </c>
      <c r="D332" s="185" t="s">
        <v>149</v>
      </c>
      <c r="E332" s="258"/>
      <c r="F332" s="182">
        <f t="shared" si="39"/>
        <v>0</v>
      </c>
      <c r="G332" s="187"/>
      <c r="H332" s="191"/>
    </row>
    <row r="333" spans="1:16" s="192" customFormat="1">
      <c r="A333" s="185">
        <v>7</v>
      </c>
      <c r="B333" s="190" t="s">
        <v>247</v>
      </c>
      <c r="C333" s="188">
        <f>ROUND((SUM(C327:C329)-SUM(C330:C332))*1.3,2)</f>
        <v>7.96</v>
      </c>
      <c r="D333" s="185" t="s">
        <v>168</v>
      </c>
      <c r="E333" s="182"/>
      <c r="F333" s="182">
        <f t="shared" si="39"/>
        <v>0</v>
      </c>
      <c r="G333" s="187">
        <f>SUM(F327:F333)</f>
        <v>0</v>
      </c>
      <c r="H333" s="191"/>
    </row>
    <row r="334" spans="1:16" s="192" customFormat="1">
      <c r="A334" s="185"/>
      <c r="B334" s="190"/>
      <c r="C334" s="188"/>
      <c r="D334" s="185"/>
      <c r="E334" s="182"/>
      <c r="F334" s="182"/>
      <c r="G334" s="187"/>
      <c r="H334" s="191"/>
    </row>
    <row r="335" spans="1:16" s="192" customFormat="1">
      <c r="A335" s="184" t="s">
        <v>108</v>
      </c>
      <c r="B335" s="186" t="s">
        <v>225</v>
      </c>
      <c r="C335" s="181"/>
      <c r="D335" s="252"/>
      <c r="E335" s="182"/>
      <c r="F335" s="182"/>
      <c r="G335" s="186"/>
      <c r="H335" s="191"/>
    </row>
    <row r="336" spans="1:16" s="192" customFormat="1" ht="25.5">
      <c r="A336" s="193">
        <v>1</v>
      </c>
      <c r="B336" s="262" t="s">
        <v>370</v>
      </c>
      <c r="C336" s="188">
        <f>ROUND((6.1*4*6.1),2)</f>
        <v>148.84</v>
      </c>
      <c r="D336" s="251" t="s">
        <v>87</v>
      </c>
      <c r="E336" s="182"/>
      <c r="F336" s="182">
        <f t="shared" ref="F336:F343" si="41">ROUND(C336*E336,2)</f>
        <v>0</v>
      </c>
      <c r="G336" s="187"/>
      <c r="H336" s="191"/>
      <c r="P336" s="190" t="s">
        <v>248</v>
      </c>
    </row>
    <row r="337" spans="1:18" s="192" customFormat="1" ht="25.5">
      <c r="A337" s="193">
        <v>2</v>
      </c>
      <c r="B337" s="262" t="s">
        <v>334</v>
      </c>
      <c r="C337" s="188">
        <f>ROUND(((4*(0.6+0.3)*(0.4^2))),2)</f>
        <v>0.57999999999999996</v>
      </c>
      <c r="D337" s="251" t="s">
        <v>149</v>
      </c>
      <c r="E337" s="182"/>
      <c r="F337" s="182">
        <f t="shared" si="41"/>
        <v>0</v>
      </c>
      <c r="G337" s="187"/>
      <c r="H337" s="191"/>
      <c r="R337" s="190"/>
    </row>
    <row r="338" spans="1:18" s="192" customFormat="1" ht="25.5">
      <c r="A338" s="193">
        <v>3</v>
      </c>
      <c r="B338" s="262" t="s">
        <v>330</v>
      </c>
      <c r="C338" s="188">
        <f>ROUND((4*0.3*(1.2^2)),2)</f>
        <v>1.73</v>
      </c>
      <c r="D338" s="251" t="s">
        <v>149</v>
      </c>
      <c r="E338" s="182"/>
      <c r="F338" s="182">
        <f t="shared" si="41"/>
        <v>0</v>
      </c>
      <c r="G338" s="187"/>
      <c r="H338" s="191"/>
    </row>
    <row r="339" spans="1:18" s="192" customFormat="1" ht="25.5">
      <c r="A339" s="193">
        <v>4</v>
      </c>
      <c r="B339" s="183" t="s">
        <v>331</v>
      </c>
      <c r="C339" s="188">
        <f>ROUND((5*0.3*(0.8^2)),2)</f>
        <v>0.96</v>
      </c>
      <c r="D339" s="251" t="s">
        <v>149</v>
      </c>
      <c r="E339" s="182"/>
      <c r="F339" s="182">
        <f t="shared" si="41"/>
        <v>0</v>
      </c>
      <c r="G339" s="187"/>
      <c r="H339" s="191"/>
    </row>
    <row r="340" spans="1:18" s="192" customFormat="1" ht="25.5">
      <c r="A340" s="193">
        <v>5</v>
      </c>
      <c r="B340" s="183" t="s">
        <v>335</v>
      </c>
      <c r="C340" s="257">
        <f>ROUND((5*6.1)*0.45*0.25,2)</f>
        <v>3.43</v>
      </c>
      <c r="D340" s="251" t="s">
        <v>149</v>
      </c>
      <c r="E340" s="182"/>
      <c r="F340" s="182">
        <f t="shared" si="41"/>
        <v>0</v>
      </c>
      <c r="G340" s="187"/>
      <c r="H340" s="191"/>
    </row>
    <row r="341" spans="1:18" s="192" customFormat="1" ht="25.5">
      <c r="A341" s="193">
        <v>6</v>
      </c>
      <c r="B341" s="183" t="s">
        <v>336</v>
      </c>
      <c r="C341" s="188">
        <f>ROUND(5*(0.6+4.2)*0.2*0.2,2)</f>
        <v>0.96</v>
      </c>
      <c r="D341" s="251" t="s">
        <v>149</v>
      </c>
      <c r="E341" s="182"/>
      <c r="F341" s="182">
        <f t="shared" si="41"/>
        <v>0</v>
      </c>
      <c r="G341" s="187"/>
      <c r="H341" s="191"/>
    </row>
    <row r="342" spans="1:18" s="192" customFormat="1" ht="25.5">
      <c r="A342" s="193">
        <v>7</v>
      </c>
      <c r="B342" s="183" t="s">
        <v>337</v>
      </c>
      <c r="C342" s="257">
        <f>ROUND(2*(5*6.1)*0.2*0.2,2)</f>
        <v>2.44</v>
      </c>
      <c r="D342" s="251" t="s">
        <v>149</v>
      </c>
      <c r="E342" s="182"/>
      <c r="F342" s="182">
        <f t="shared" si="41"/>
        <v>0</v>
      </c>
      <c r="G342" s="187"/>
      <c r="H342" s="191"/>
    </row>
    <row r="343" spans="1:18" s="173" customFormat="1" ht="25.5">
      <c r="A343" s="193">
        <v>8</v>
      </c>
      <c r="B343" s="183" t="s">
        <v>338</v>
      </c>
      <c r="C343" s="257">
        <f>ROUND(1*(5*6.1)*0.15*0.2,2)</f>
        <v>0.92</v>
      </c>
      <c r="D343" s="251" t="s">
        <v>149</v>
      </c>
      <c r="E343" s="171"/>
      <c r="F343" s="182">
        <f t="shared" si="41"/>
        <v>0</v>
      </c>
      <c r="G343" s="187">
        <f>SUM(F336:F343)</f>
        <v>0</v>
      </c>
      <c r="H343" s="172"/>
    </row>
    <row r="344" spans="1:18" s="173" customFormat="1">
      <c r="A344" s="193"/>
      <c r="B344" s="183"/>
      <c r="C344" s="188"/>
      <c r="D344" s="251"/>
      <c r="E344" s="171"/>
      <c r="F344" s="182"/>
      <c r="G344" s="187"/>
      <c r="H344" s="172"/>
    </row>
    <row r="345" spans="1:18" s="173" customFormat="1">
      <c r="A345" s="184" t="s">
        <v>109</v>
      </c>
      <c r="B345" s="186" t="s">
        <v>177</v>
      </c>
      <c r="C345" s="181"/>
      <c r="D345" s="251"/>
      <c r="E345" s="169"/>
      <c r="F345" s="182"/>
      <c r="G345" s="169"/>
      <c r="H345" s="172"/>
    </row>
    <row r="346" spans="1:18" s="173" customFormat="1">
      <c r="A346" s="193">
        <v>1</v>
      </c>
      <c r="B346" s="183" t="s">
        <v>262</v>
      </c>
      <c r="C346" s="257">
        <f>ROUND((5*6.1*0.4),2)</f>
        <v>12.2</v>
      </c>
      <c r="D346" s="251" t="s">
        <v>87</v>
      </c>
      <c r="E346" s="188"/>
      <c r="F346" s="182">
        <f t="shared" ref="F346" si="42">ROUND(C346*E346,2)</f>
        <v>0</v>
      </c>
      <c r="G346" s="187"/>
      <c r="H346" s="172"/>
    </row>
    <row r="347" spans="1:18" s="173" customFormat="1">
      <c r="A347" s="193">
        <v>2</v>
      </c>
      <c r="B347" s="183" t="s">
        <v>261</v>
      </c>
      <c r="C347" s="257">
        <f>ROUND((5*6.1*4.2)-(2.3*1.1*10+2.3*0.6*9+1.8*2.7),2)</f>
        <v>85.52</v>
      </c>
      <c r="D347" s="251" t="s">
        <v>87</v>
      </c>
      <c r="E347" s="188"/>
      <c r="F347" s="182">
        <f t="shared" ref="F347" si="43">ROUND(C347*E347,2)</f>
        <v>0</v>
      </c>
      <c r="G347" s="187">
        <f>SUM(F346:F347)</f>
        <v>0</v>
      </c>
      <c r="H347" s="172"/>
    </row>
    <row r="348" spans="1:18" s="173" customFormat="1">
      <c r="A348" s="193"/>
      <c r="B348" s="183"/>
      <c r="C348" s="188"/>
      <c r="D348" s="251"/>
      <c r="E348" s="188"/>
      <c r="F348" s="182"/>
      <c r="G348" s="187"/>
      <c r="H348" s="172"/>
    </row>
    <row r="349" spans="1:18" s="173" customFormat="1">
      <c r="A349" s="184" t="s">
        <v>110</v>
      </c>
      <c r="B349" s="186" t="s">
        <v>152</v>
      </c>
      <c r="C349" s="181"/>
      <c r="D349" s="251"/>
      <c r="E349" s="169"/>
      <c r="F349" s="182"/>
      <c r="G349" s="169"/>
      <c r="H349" s="172"/>
    </row>
    <row r="350" spans="1:18" s="173" customFormat="1">
      <c r="A350" s="193">
        <v>1</v>
      </c>
      <c r="B350" s="183" t="s">
        <v>195</v>
      </c>
      <c r="C350" s="257">
        <f>ROUND(C347+6.1*(4.8+4.2)/2-(2.3*1.1),2)</f>
        <v>110.44</v>
      </c>
      <c r="D350" s="251" t="s">
        <v>87</v>
      </c>
      <c r="E350" s="182"/>
      <c r="F350" s="182">
        <f t="shared" ref="F350:F355" si="44">ROUND(C350*E350,2)</f>
        <v>0</v>
      </c>
      <c r="G350" s="169"/>
      <c r="H350" s="172"/>
    </row>
    <row r="351" spans="1:18" s="173" customFormat="1">
      <c r="A351" s="193">
        <v>2</v>
      </c>
      <c r="B351" s="183" t="s">
        <v>199</v>
      </c>
      <c r="C351" s="257">
        <f>ROUND(C347,2)</f>
        <v>85.52</v>
      </c>
      <c r="D351" s="251" t="s">
        <v>87</v>
      </c>
      <c r="E351" s="182"/>
      <c r="F351" s="182">
        <f t="shared" si="44"/>
        <v>0</v>
      </c>
      <c r="G351" s="169"/>
      <c r="H351" s="172"/>
      <c r="I351" s="260" t="s">
        <v>249</v>
      </c>
      <c r="J351" s="260" t="s">
        <v>110</v>
      </c>
    </row>
    <row r="352" spans="1:18" s="173" customFormat="1">
      <c r="A352" s="193">
        <v>3</v>
      </c>
      <c r="B352" s="183" t="s">
        <v>189</v>
      </c>
      <c r="C352" s="188">
        <f>ROUND(C350,2)</f>
        <v>110.44</v>
      </c>
      <c r="D352" s="251" t="s">
        <v>87</v>
      </c>
      <c r="E352" s="182"/>
      <c r="F352" s="182">
        <f t="shared" si="44"/>
        <v>0</v>
      </c>
      <c r="G352" s="169"/>
      <c r="H352" s="172"/>
      <c r="I352" s="261">
        <f>1*(2.7*2+1.8)</f>
        <v>7.2</v>
      </c>
      <c r="J352" s="261">
        <f>(0+1+8+0)*(0.6+2.3)*2+(0+3+7+0)*(2.3+1.1)*2</f>
        <v>120.19999999999999</v>
      </c>
    </row>
    <row r="353" spans="1:12" s="173" customFormat="1">
      <c r="A353" s="193">
        <v>4</v>
      </c>
      <c r="B353" s="183" t="s">
        <v>190</v>
      </c>
      <c r="C353" s="188">
        <f>ROUND(C351,2)</f>
        <v>85.52</v>
      </c>
      <c r="D353" s="251" t="s">
        <v>87</v>
      </c>
      <c r="E353" s="182"/>
      <c r="F353" s="182">
        <f t="shared" si="44"/>
        <v>0</v>
      </c>
      <c r="G353" s="169"/>
      <c r="H353" s="172"/>
      <c r="I353" s="261">
        <f>1*(2.7*2+1.8)*2</f>
        <v>14.4</v>
      </c>
      <c r="J353" s="261">
        <f>(0+1+8+0)*(0.6+2.3)*2*2+(0+3+7+0)*(2.3+1.1)*2*2</f>
        <v>240.39999999999998</v>
      </c>
    </row>
    <row r="354" spans="1:12" s="173" customFormat="1">
      <c r="A354" s="193">
        <v>5</v>
      </c>
      <c r="B354" s="183" t="s">
        <v>196</v>
      </c>
      <c r="C354" s="257">
        <f>ROUND(I352+J352,2)</f>
        <v>127.4</v>
      </c>
      <c r="D354" s="251" t="s">
        <v>174</v>
      </c>
      <c r="E354" s="182"/>
      <c r="F354" s="182">
        <f t="shared" si="44"/>
        <v>0</v>
      </c>
      <c r="G354" s="169"/>
      <c r="H354" s="172"/>
    </row>
    <row r="355" spans="1:12" s="173" customFormat="1">
      <c r="A355" s="193">
        <v>6</v>
      </c>
      <c r="B355" s="183" t="s">
        <v>197</v>
      </c>
      <c r="C355" s="257">
        <f>ROUND(I353+J353,2)</f>
        <v>254.8</v>
      </c>
      <c r="D355" s="251" t="s">
        <v>174</v>
      </c>
      <c r="E355" s="182"/>
      <c r="F355" s="182">
        <f t="shared" si="44"/>
        <v>0</v>
      </c>
      <c r="G355" s="187">
        <f>SUM(F350:F355)</f>
        <v>0</v>
      </c>
      <c r="H355" s="172"/>
    </row>
    <row r="356" spans="1:12" s="192" customFormat="1">
      <c r="A356" s="169"/>
      <c r="B356" s="183"/>
      <c r="C356" s="188"/>
      <c r="D356" s="251"/>
      <c r="E356" s="169"/>
      <c r="F356" s="182"/>
      <c r="G356" s="169"/>
      <c r="H356" s="191"/>
      <c r="I356" s="192">
        <f>((30.6*2)+(36.7*2))*4.8+((30.6*2.2)/2*2)-((6.1*2+3.85)*4.8-(3*3+2.3*0.6+2*0.9*2.1))</f>
        <v>650.5200000000001</v>
      </c>
      <c r="J356" s="192">
        <f>0*(3*3)+(0.9*2.1*8)+(1.8*2.5*6)</f>
        <v>42.120000000000005</v>
      </c>
      <c r="K356" s="192">
        <f>(1.1*1.2)+(7+0+0+6)*(0.6*2.3)+(0+14+14+12)*(2.3*1.1)</f>
        <v>120.45999999999998</v>
      </c>
    </row>
    <row r="357" spans="1:12" s="192" customFormat="1">
      <c r="A357" s="194" t="s">
        <v>111</v>
      </c>
      <c r="B357" s="186" t="s">
        <v>120</v>
      </c>
      <c r="C357" s="176"/>
      <c r="D357" s="250"/>
      <c r="E357" s="169"/>
      <c r="F357" s="182"/>
      <c r="G357" s="169"/>
      <c r="H357" s="191"/>
    </row>
    <row r="358" spans="1:12" s="173" customFormat="1">
      <c r="A358" s="193">
        <v>1</v>
      </c>
      <c r="B358" s="183" t="s">
        <v>133</v>
      </c>
      <c r="C358" s="188">
        <f>ROUND(C350,2)</f>
        <v>110.44</v>
      </c>
      <c r="D358" s="251" t="s">
        <v>87</v>
      </c>
      <c r="E358" s="182"/>
      <c r="F358" s="182">
        <f t="shared" ref="F358:F359" si="45">ROUND(C358*E358,2)</f>
        <v>0</v>
      </c>
      <c r="G358" s="186"/>
      <c r="H358" s="172"/>
    </row>
    <row r="359" spans="1:12" s="192" customFormat="1">
      <c r="A359" s="193">
        <v>2</v>
      </c>
      <c r="B359" s="183" t="s">
        <v>134</v>
      </c>
      <c r="C359" s="188">
        <f>ROUND(C351,2)</f>
        <v>85.52</v>
      </c>
      <c r="D359" s="251" t="s">
        <v>87</v>
      </c>
      <c r="E359" s="182"/>
      <c r="F359" s="182">
        <f t="shared" si="45"/>
        <v>0</v>
      </c>
      <c r="G359" s="187">
        <f>SUM(F358:F359)</f>
        <v>0</v>
      </c>
      <c r="H359" s="172"/>
      <c r="I359" s="173"/>
      <c r="J359" s="173"/>
      <c r="K359" s="173"/>
    </row>
    <row r="360" spans="1:12" s="192" customFormat="1">
      <c r="A360" s="169"/>
      <c r="B360" s="183"/>
      <c r="C360" s="188"/>
      <c r="D360" s="251"/>
      <c r="E360" s="169"/>
      <c r="F360" s="182"/>
      <c r="G360" s="169"/>
      <c r="H360" s="191"/>
    </row>
    <row r="361" spans="1:12" s="192" customFormat="1">
      <c r="A361" s="194" t="s">
        <v>119</v>
      </c>
      <c r="B361" s="186" t="s">
        <v>138</v>
      </c>
      <c r="C361" s="176"/>
      <c r="D361" s="250"/>
      <c r="E361" s="169"/>
      <c r="F361" s="182"/>
      <c r="G361" s="169"/>
      <c r="H361" s="172"/>
      <c r="I361" s="173"/>
      <c r="J361" s="173"/>
      <c r="K361" s="173"/>
    </row>
    <row r="362" spans="1:12" s="192" customFormat="1">
      <c r="A362" s="193">
        <v>1</v>
      </c>
      <c r="B362" s="262" t="s">
        <v>401</v>
      </c>
      <c r="C362" s="181">
        <f>ROUND((1.8*2.5*1),2)</f>
        <v>4.5</v>
      </c>
      <c r="D362" s="251" t="s">
        <v>87</v>
      </c>
      <c r="E362" s="181"/>
      <c r="F362" s="182">
        <f t="shared" ref="F362:F365" si="46">ROUND(C362*E362,2)</f>
        <v>0</v>
      </c>
      <c r="G362" s="187">
        <f>SUM(F362)</f>
        <v>0</v>
      </c>
      <c r="H362" s="191"/>
    </row>
    <row r="363" spans="1:12" s="173" customFormat="1">
      <c r="A363" s="169"/>
      <c r="B363" s="183"/>
      <c r="C363" s="188"/>
      <c r="D363" s="251"/>
      <c r="E363" s="169"/>
      <c r="F363" s="182"/>
      <c r="G363" s="169"/>
      <c r="H363" s="191"/>
      <c r="I363" s="192"/>
      <c r="J363" s="192"/>
      <c r="K363" s="192"/>
    </row>
    <row r="364" spans="1:12" s="173" customFormat="1">
      <c r="A364" s="194" t="s">
        <v>121</v>
      </c>
      <c r="B364" s="186" t="s">
        <v>123</v>
      </c>
      <c r="C364" s="181"/>
      <c r="D364" s="251"/>
      <c r="E364" s="182"/>
      <c r="F364" s="182"/>
      <c r="G364" s="186"/>
      <c r="H364" s="172"/>
    </row>
    <row r="365" spans="1:12" s="192" customFormat="1" ht="25.5">
      <c r="A365" s="193">
        <v>1</v>
      </c>
      <c r="B365" s="262" t="s">
        <v>374</v>
      </c>
      <c r="C365" s="277">
        <f>ROUND((0+1+8+0)*(0.6*2.3)+(0+3+7+0)*(2.3*1.1),2)</f>
        <v>37.72</v>
      </c>
      <c r="D365" s="251" t="s">
        <v>87</v>
      </c>
      <c r="E365" s="182"/>
      <c r="F365" s="182">
        <f t="shared" si="46"/>
        <v>0</v>
      </c>
      <c r="G365" s="187">
        <f>SUM(F365)</f>
        <v>0</v>
      </c>
      <c r="H365" s="173"/>
      <c r="I365" s="173"/>
      <c r="J365" s="173"/>
      <c r="K365" s="173"/>
    </row>
    <row r="366" spans="1:12" s="248" customFormat="1">
      <c r="A366" s="168"/>
      <c r="B366" s="169"/>
      <c r="C366" s="170"/>
      <c r="D366" s="168"/>
      <c r="E366" s="169"/>
      <c r="F366" s="182"/>
      <c r="G366" s="169"/>
      <c r="H366" s="192"/>
      <c r="I366" s="192"/>
      <c r="J366" s="192"/>
      <c r="K366" s="192"/>
      <c r="L366" s="192"/>
    </row>
    <row r="367" spans="1:12" s="248" customFormat="1">
      <c r="A367" s="194" t="s">
        <v>159</v>
      </c>
      <c r="B367" s="186" t="s">
        <v>200</v>
      </c>
      <c r="C367" s="176"/>
      <c r="D367" s="250"/>
      <c r="E367" s="169"/>
      <c r="F367" s="182"/>
      <c r="G367" s="169"/>
      <c r="H367" s="192"/>
      <c r="I367" s="192"/>
      <c r="J367" s="192"/>
      <c r="K367" s="192"/>
      <c r="L367" s="192"/>
    </row>
    <row r="368" spans="1:12" s="248" customFormat="1" ht="38.25">
      <c r="A368" s="185">
        <v>1</v>
      </c>
      <c r="B368" s="262" t="s">
        <v>321</v>
      </c>
      <c r="C368" s="257">
        <v>4</v>
      </c>
      <c r="D368" s="271" t="s">
        <v>117</v>
      </c>
      <c r="E368" s="258"/>
      <c r="F368" s="182">
        <f t="shared" ref="F368:F374" si="47">ROUND(C368*E368,2)</f>
        <v>0</v>
      </c>
      <c r="G368" s="187"/>
      <c r="H368" s="192"/>
      <c r="I368" s="192"/>
      <c r="J368" s="192"/>
      <c r="K368" s="192"/>
      <c r="L368" s="192"/>
    </row>
    <row r="369" spans="1:12" s="248" customFormat="1" ht="25.5">
      <c r="A369" s="185">
        <v>2</v>
      </c>
      <c r="B369" s="288" t="s">
        <v>322</v>
      </c>
      <c r="C369" s="257">
        <f>ROUND(13*4,2)</f>
        <v>52</v>
      </c>
      <c r="D369" s="271" t="s">
        <v>150</v>
      </c>
      <c r="E369" s="258"/>
      <c r="F369" s="182">
        <f t="shared" si="47"/>
        <v>0</v>
      </c>
      <c r="G369" s="187"/>
      <c r="H369" s="192"/>
      <c r="I369" s="192"/>
      <c r="J369" s="192"/>
      <c r="K369" s="192"/>
      <c r="L369" s="192"/>
    </row>
    <row r="370" spans="1:12" s="248" customFormat="1" ht="25.5">
      <c r="A370" s="185">
        <v>3</v>
      </c>
      <c r="B370" s="262" t="s">
        <v>323</v>
      </c>
      <c r="C370" s="257">
        <f>ROUND(5*20,2)</f>
        <v>100</v>
      </c>
      <c r="D370" s="271" t="s">
        <v>150</v>
      </c>
      <c r="E370" s="258"/>
      <c r="F370" s="182">
        <f t="shared" si="47"/>
        <v>0</v>
      </c>
      <c r="G370" s="187"/>
      <c r="H370" s="192"/>
      <c r="I370" s="192" t="s">
        <v>135</v>
      </c>
      <c r="J370" s="192"/>
      <c r="K370" s="192"/>
      <c r="L370" s="192"/>
    </row>
    <row r="371" spans="1:12" s="248" customFormat="1" ht="38.25">
      <c r="A371" s="185">
        <v>4</v>
      </c>
      <c r="B371" s="274" t="s">
        <v>313</v>
      </c>
      <c r="C371" s="257">
        <f>ROUND((4*6.1*5)*3.28,2)</f>
        <v>400.16</v>
      </c>
      <c r="D371" s="271" t="s">
        <v>150</v>
      </c>
      <c r="E371" s="182"/>
      <c r="F371" s="182">
        <f t="shared" si="47"/>
        <v>0</v>
      </c>
      <c r="G371" s="190"/>
      <c r="H371" s="192"/>
      <c r="I371" s="192"/>
      <c r="J371" s="192"/>
      <c r="K371" s="192"/>
      <c r="L371" s="192"/>
    </row>
    <row r="372" spans="1:12" s="248" customFormat="1">
      <c r="A372" s="185">
        <v>5</v>
      </c>
      <c r="B372" s="272" t="s">
        <v>285</v>
      </c>
      <c r="C372" s="257">
        <f>ROUND((4*6.1*6.1)*10.76,2)</f>
        <v>1601.52</v>
      </c>
      <c r="D372" s="271" t="s">
        <v>132</v>
      </c>
      <c r="E372" s="182"/>
      <c r="F372" s="182">
        <f t="shared" si="47"/>
        <v>0</v>
      </c>
      <c r="G372" s="190"/>
      <c r="H372" s="192"/>
      <c r="I372" s="192"/>
      <c r="J372" s="192"/>
      <c r="K372" s="192"/>
      <c r="L372" s="192"/>
    </row>
    <row r="373" spans="1:12" s="173" customFormat="1">
      <c r="A373" s="185">
        <v>6</v>
      </c>
      <c r="B373" s="262" t="s">
        <v>324</v>
      </c>
      <c r="C373" s="257">
        <f>ROUND(6.1*3.28,2)</f>
        <v>20.010000000000002</v>
      </c>
      <c r="D373" s="271" t="s">
        <v>150</v>
      </c>
      <c r="E373" s="182"/>
      <c r="F373" s="182">
        <f t="shared" si="47"/>
        <v>0</v>
      </c>
      <c r="G373" s="187"/>
      <c r="H373" s="172"/>
    </row>
    <row r="374" spans="1:12" s="282" customFormat="1">
      <c r="A374" s="185">
        <v>7</v>
      </c>
      <c r="B374" s="262" t="s">
        <v>325</v>
      </c>
      <c r="C374" s="257">
        <f>ROUND(15.3*4*3.28,2)</f>
        <v>200.74</v>
      </c>
      <c r="D374" s="271" t="s">
        <v>150</v>
      </c>
      <c r="E374" s="182"/>
      <c r="F374" s="182">
        <f t="shared" si="47"/>
        <v>0</v>
      </c>
      <c r="G374" s="187">
        <f>SUM(F368:F374)</f>
        <v>0</v>
      </c>
      <c r="H374" s="281"/>
    </row>
    <row r="375" spans="1:12" s="282" customFormat="1">
      <c r="A375" s="168"/>
      <c r="B375" s="179"/>
      <c r="C375" s="176"/>
      <c r="D375" s="250"/>
      <c r="E375" s="171"/>
      <c r="F375" s="182"/>
      <c r="G375" s="175"/>
      <c r="H375" s="281"/>
    </row>
    <row r="376" spans="1:12" s="282" customFormat="1">
      <c r="A376" s="284" t="s">
        <v>178</v>
      </c>
      <c r="B376" s="280" t="s">
        <v>118</v>
      </c>
      <c r="C376" s="278"/>
      <c r="D376" s="279"/>
      <c r="E376" s="280"/>
      <c r="F376" s="258"/>
      <c r="G376" s="280"/>
      <c r="H376" s="281"/>
    </row>
    <row r="377" spans="1:12" s="282" customFormat="1">
      <c r="A377" s="273">
        <v>1</v>
      </c>
      <c r="B377" s="262" t="s">
        <v>272</v>
      </c>
      <c r="C377" s="278">
        <v>3</v>
      </c>
      <c r="D377" s="279" t="s">
        <v>117</v>
      </c>
      <c r="E377" s="182"/>
      <c r="F377" s="258">
        <f t="shared" ref="F377:F382" si="48">ROUND(C377*E377,2)</f>
        <v>0</v>
      </c>
      <c r="G377" s="280"/>
      <c r="H377" s="281"/>
    </row>
    <row r="378" spans="1:12" s="173" customFormat="1" ht="25.5">
      <c r="A378" s="273">
        <v>2</v>
      </c>
      <c r="B378" s="262" t="s">
        <v>348</v>
      </c>
      <c r="C378" s="278">
        <v>1</v>
      </c>
      <c r="D378" s="279" t="s">
        <v>4</v>
      </c>
      <c r="E378" s="258"/>
      <c r="F378" s="258">
        <f t="shared" si="48"/>
        <v>0</v>
      </c>
      <c r="G378" s="280"/>
      <c r="H378"/>
    </row>
    <row r="379" spans="1:12" s="173" customFormat="1" ht="25.5">
      <c r="A379" s="273">
        <v>3</v>
      </c>
      <c r="B379" s="262" t="s">
        <v>346</v>
      </c>
      <c r="C379" s="278">
        <v>1</v>
      </c>
      <c r="D379" s="279" t="s">
        <v>4</v>
      </c>
      <c r="E379" s="258"/>
      <c r="F379" s="258">
        <f t="shared" si="48"/>
        <v>0</v>
      </c>
      <c r="G379" s="280"/>
      <c r="H379" s="172"/>
    </row>
    <row r="380" spans="1:12" s="282" customFormat="1">
      <c r="A380" s="273">
        <v>4</v>
      </c>
      <c r="B380" s="262" t="s">
        <v>263</v>
      </c>
      <c r="C380" s="278">
        <f>ROUND((0.7*4.15)-(0.6*0.6)*2,2)</f>
        <v>2.19</v>
      </c>
      <c r="D380" s="279" t="s">
        <v>132</v>
      </c>
      <c r="E380" s="182"/>
      <c r="F380" s="258">
        <f t="shared" si="48"/>
        <v>0</v>
      </c>
      <c r="G380" s="187"/>
      <c r="H380" s="281"/>
    </row>
    <row r="381" spans="1:12" s="173" customFormat="1">
      <c r="A381" s="273">
        <v>5</v>
      </c>
      <c r="B381" s="262" t="s">
        <v>148</v>
      </c>
      <c r="C381" s="278">
        <v>2</v>
      </c>
      <c r="D381" s="279" t="s">
        <v>117</v>
      </c>
      <c r="E381" s="182"/>
      <c r="F381" s="258">
        <f t="shared" si="48"/>
        <v>0</v>
      </c>
      <c r="G381" s="187"/>
      <c r="H381" s="172"/>
    </row>
    <row r="382" spans="1:12" s="192" customFormat="1">
      <c r="A382" s="273">
        <v>6</v>
      </c>
      <c r="B382" s="262" t="s">
        <v>237</v>
      </c>
      <c r="C382" s="278">
        <v>1</v>
      </c>
      <c r="D382" s="279" t="s">
        <v>162</v>
      </c>
      <c r="E382" s="258"/>
      <c r="F382" s="258">
        <f t="shared" si="48"/>
        <v>0</v>
      </c>
      <c r="G382" s="283">
        <f>SUM(F377:F382)</f>
        <v>0</v>
      </c>
      <c r="H382" s="172"/>
    </row>
    <row r="383" spans="1:12" s="192" customFormat="1">
      <c r="A383" s="168"/>
      <c r="B383" s="179"/>
      <c r="C383" s="176"/>
      <c r="D383" s="250"/>
      <c r="E383" s="171"/>
      <c r="F383" s="182"/>
      <c r="G383" s="175"/>
      <c r="H383" s="191"/>
    </row>
    <row r="384" spans="1:12" s="192" customFormat="1">
      <c r="A384" s="243" t="s">
        <v>269</v>
      </c>
      <c r="B384" s="265" t="s">
        <v>157</v>
      </c>
      <c r="C384" s="245"/>
      <c r="D384" s="264"/>
      <c r="E384" s="246"/>
      <c r="F384" s="246"/>
      <c r="G384" s="266"/>
      <c r="H384" s="191"/>
    </row>
    <row r="385" spans="1:11" s="192" customFormat="1">
      <c r="A385" s="184" t="s">
        <v>88</v>
      </c>
      <c r="B385" s="180" t="s">
        <v>147</v>
      </c>
      <c r="C385" s="181"/>
      <c r="D385" s="251"/>
      <c r="E385" s="182"/>
      <c r="F385" s="182"/>
      <c r="G385" s="187"/>
      <c r="H385" s="191"/>
    </row>
    <row r="386" spans="1:11" s="173" customFormat="1">
      <c r="A386" s="185">
        <v>1</v>
      </c>
      <c r="B386" s="183" t="s">
        <v>273</v>
      </c>
      <c r="C386" s="181">
        <v>1</v>
      </c>
      <c r="D386" s="251" t="s">
        <v>117</v>
      </c>
      <c r="E386" s="182"/>
      <c r="F386" s="182">
        <f t="shared" ref="F386:F420" si="49">ROUND(C386*E386,2)</f>
        <v>0</v>
      </c>
      <c r="G386" s="187">
        <f>SUM(F386)</f>
        <v>0</v>
      </c>
      <c r="H386" s="191"/>
      <c r="I386" s="192"/>
      <c r="J386" s="192"/>
      <c r="K386" s="192"/>
    </row>
    <row r="387" spans="1:11" s="192" customFormat="1">
      <c r="A387" s="185"/>
      <c r="B387" s="183"/>
      <c r="C387" s="181"/>
      <c r="D387" s="251"/>
      <c r="E387" s="182"/>
      <c r="F387" s="182"/>
      <c r="G387" s="187"/>
      <c r="H387" s="191"/>
      <c r="I387" s="173"/>
      <c r="J387" s="173"/>
      <c r="K387" s="173"/>
    </row>
    <row r="388" spans="1:11" s="192" customFormat="1">
      <c r="A388" s="184" t="s">
        <v>107</v>
      </c>
      <c r="B388" s="180" t="s">
        <v>158</v>
      </c>
      <c r="C388" s="181"/>
      <c r="D388" s="251"/>
      <c r="E388" s="182"/>
      <c r="F388" s="182"/>
      <c r="G388" s="187"/>
      <c r="H388" s="172"/>
    </row>
    <row r="389" spans="1:11" s="192" customFormat="1" ht="25.5">
      <c r="A389" s="185">
        <v>1</v>
      </c>
      <c r="B389" s="183" t="s">
        <v>232</v>
      </c>
      <c r="C389" s="181">
        <v>1</v>
      </c>
      <c r="D389" s="251" t="s">
        <v>162</v>
      </c>
      <c r="E389" s="182"/>
      <c r="F389" s="182">
        <f t="shared" si="49"/>
        <v>0</v>
      </c>
      <c r="G389" s="187">
        <f>SUM(F389)</f>
        <v>0</v>
      </c>
      <c r="H389" s="191"/>
    </row>
    <row r="390" spans="1:11" s="192" customFormat="1">
      <c r="A390" s="168"/>
      <c r="B390" s="179"/>
      <c r="C390" s="176"/>
      <c r="D390" s="250"/>
      <c r="E390" s="171"/>
      <c r="F390" s="182"/>
      <c r="G390" s="175"/>
      <c r="H390" s="191"/>
    </row>
    <row r="391" spans="1:11" s="192" customFormat="1">
      <c r="A391" s="243" t="s">
        <v>270</v>
      </c>
      <c r="B391" s="265" t="s">
        <v>221</v>
      </c>
      <c r="C391" s="245"/>
      <c r="D391" s="264"/>
      <c r="E391" s="246"/>
      <c r="F391" s="246"/>
      <c r="G391" s="266"/>
      <c r="H391" s="191"/>
    </row>
    <row r="392" spans="1:11" s="192" customFormat="1">
      <c r="A392" s="184" t="s">
        <v>88</v>
      </c>
      <c r="B392" s="180" t="s">
        <v>228</v>
      </c>
      <c r="C392" s="181"/>
      <c r="D392" s="251"/>
      <c r="E392" s="182"/>
      <c r="F392" s="182"/>
      <c r="G392" s="187"/>
      <c r="H392" s="191"/>
    </row>
    <row r="393" spans="1:11" s="192" customFormat="1">
      <c r="A393" s="185">
        <v>1</v>
      </c>
      <c r="B393" s="183" t="s">
        <v>222</v>
      </c>
      <c r="C393" s="181">
        <v>1</v>
      </c>
      <c r="D393" s="251" t="s">
        <v>162</v>
      </c>
      <c r="E393" s="182"/>
      <c r="F393" s="182">
        <f t="shared" si="49"/>
        <v>0</v>
      </c>
      <c r="G393" s="187"/>
      <c r="H393" s="191"/>
    </row>
    <row r="394" spans="1:11" s="192" customFormat="1">
      <c r="A394" s="185">
        <v>2</v>
      </c>
      <c r="B394" s="183" t="s">
        <v>276</v>
      </c>
      <c r="C394" s="181">
        <v>12</v>
      </c>
      <c r="D394" s="251" t="s">
        <v>117</v>
      </c>
      <c r="E394" s="182"/>
      <c r="F394" s="182">
        <f t="shared" si="49"/>
        <v>0</v>
      </c>
      <c r="G394" s="187"/>
      <c r="H394" s="191"/>
    </row>
    <row r="395" spans="1:11" s="192" customFormat="1">
      <c r="A395" s="185">
        <v>3</v>
      </c>
      <c r="B395" s="183" t="s">
        <v>274</v>
      </c>
      <c r="C395" s="181">
        <v>2</v>
      </c>
      <c r="D395" s="251" t="s">
        <v>117</v>
      </c>
      <c r="E395" s="182"/>
      <c r="F395" s="182">
        <f t="shared" si="49"/>
        <v>0</v>
      </c>
      <c r="G395" s="187"/>
      <c r="H395" s="191"/>
      <c r="I395" s="241"/>
      <c r="J395" s="241"/>
      <c r="K395" s="241"/>
    </row>
    <row r="396" spans="1:11" s="241" customFormat="1">
      <c r="A396" s="185">
        <v>4</v>
      </c>
      <c r="B396" s="183" t="s">
        <v>275</v>
      </c>
      <c r="C396" s="181">
        <v>2</v>
      </c>
      <c r="D396" s="251" t="s">
        <v>117</v>
      </c>
      <c r="E396" s="182"/>
      <c r="F396" s="182">
        <f t="shared" si="49"/>
        <v>0</v>
      </c>
      <c r="G396" s="187">
        <f>SUM(F393:F396)</f>
        <v>0</v>
      </c>
      <c r="H396" s="256"/>
      <c r="I396" s="192"/>
      <c r="J396" s="192"/>
      <c r="K396" s="192"/>
    </row>
    <row r="397" spans="1:11" s="192" customFormat="1">
      <c r="A397" s="185"/>
      <c r="B397" s="183"/>
      <c r="C397" s="181"/>
      <c r="D397" s="251"/>
      <c r="E397" s="182"/>
      <c r="F397" s="182"/>
      <c r="G397" s="187"/>
      <c r="H397" s="191"/>
      <c r="I397" s="241"/>
      <c r="J397" s="241"/>
      <c r="K397" s="241"/>
    </row>
    <row r="398" spans="1:11" s="192" customFormat="1">
      <c r="A398" s="184" t="s">
        <v>107</v>
      </c>
      <c r="B398" s="180" t="s">
        <v>226</v>
      </c>
      <c r="C398" s="240"/>
      <c r="D398" s="252"/>
      <c r="E398" s="195"/>
      <c r="F398" s="182"/>
      <c r="G398" s="187"/>
      <c r="H398" s="256"/>
    </row>
    <row r="399" spans="1:11" s="192" customFormat="1">
      <c r="A399" s="193">
        <v>1</v>
      </c>
      <c r="B399" s="295" t="s">
        <v>415</v>
      </c>
      <c r="C399" s="181">
        <f>(0.9*10)</f>
        <v>9</v>
      </c>
      <c r="D399" s="251" t="s">
        <v>87</v>
      </c>
      <c r="E399" s="182"/>
      <c r="F399" s="182">
        <f t="shared" si="49"/>
        <v>0</v>
      </c>
      <c r="G399" s="255"/>
      <c r="H399" s="191"/>
    </row>
    <row r="400" spans="1:11" s="192" customFormat="1" ht="25.5">
      <c r="A400" s="193">
        <v>2</v>
      </c>
      <c r="B400" s="295" t="s">
        <v>417</v>
      </c>
      <c r="C400" s="181">
        <f>(2.5*14.6)</f>
        <v>36.5</v>
      </c>
      <c r="D400" s="251" t="s">
        <v>87</v>
      </c>
      <c r="E400" s="182"/>
      <c r="F400" s="182">
        <f t="shared" si="49"/>
        <v>0</v>
      </c>
      <c r="G400" s="187"/>
      <c r="H400" s="191"/>
    </row>
    <row r="401" spans="1:11" s="192" customFormat="1" ht="25.5">
      <c r="A401" s="193">
        <v>3</v>
      </c>
      <c r="B401" s="295" t="s">
        <v>416</v>
      </c>
      <c r="C401" s="181">
        <f>(2.1*6)</f>
        <v>12.600000000000001</v>
      </c>
      <c r="D401" s="251" t="s">
        <v>87</v>
      </c>
      <c r="E401" s="182"/>
      <c r="F401" s="182">
        <f t="shared" si="49"/>
        <v>0</v>
      </c>
      <c r="G401" s="255"/>
      <c r="H401" s="191"/>
    </row>
    <row r="402" spans="1:11" s="192" customFormat="1">
      <c r="A402" s="185">
        <v>4</v>
      </c>
      <c r="B402" s="262" t="s">
        <v>402</v>
      </c>
      <c r="C402" s="181">
        <f>ROUND(((C399*0.1)+(C400*0.1)+(C401*0.1))*1.5,2)</f>
        <v>8.7200000000000006</v>
      </c>
      <c r="D402" s="251" t="s">
        <v>168</v>
      </c>
      <c r="E402" s="182"/>
      <c r="F402" s="182">
        <f t="shared" si="49"/>
        <v>0</v>
      </c>
      <c r="G402" s="255"/>
      <c r="H402" s="191"/>
    </row>
    <row r="403" spans="1:11" s="241" customFormat="1">
      <c r="A403" s="185">
        <v>5</v>
      </c>
      <c r="B403" s="183" t="s">
        <v>422</v>
      </c>
      <c r="C403" s="181">
        <f>ROUND(2.5*14.6,2)</f>
        <v>36.5</v>
      </c>
      <c r="D403" s="251" t="s">
        <v>87</v>
      </c>
      <c r="E403" s="182"/>
      <c r="F403" s="182">
        <f t="shared" si="49"/>
        <v>0</v>
      </c>
      <c r="G403" s="255"/>
      <c r="H403" s="191"/>
      <c r="I403" s="192"/>
      <c r="J403" s="192"/>
      <c r="K403" s="192"/>
    </row>
    <row r="404" spans="1:11" s="192" customFormat="1" ht="25.5">
      <c r="A404" s="185">
        <v>6</v>
      </c>
      <c r="B404" s="183" t="s">
        <v>423</v>
      </c>
      <c r="C404" s="181">
        <f>ROUND(2.5*27.03,2)</f>
        <v>67.58</v>
      </c>
      <c r="D404" s="251" t="s">
        <v>87</v>
      </c>
      <c r="E404" s="182"/>
      <c r="F404" s="182">
        <f t="shared" si="49"/>
        <v>0</v>
      </c>
      <c r="G404" s="187">
        <f>SUM(F399:F404)</f>
        <v>0</v>
      </c>
      <c r="H404" s="256"/>
    </row>
    <row r="405" spans="1:11" s="192" customFormat="1">
      <c r="A405" s="185"/>
      <c r="B405" s="183"/>
      <c r="C405" s="181"/>
      <c r="D405" s="251"/>
      <c r="E405" s="182"/>
      <c r="F405" s="182"/>
      <c r="G405" s="255"/>
      <c r="H405" s="191"/>
    </row>
    <row r="406" spans="1:11" s="192" customFormat="1">
      <c r="A406" s="184" t="s">
        <v>108</v>
      </c>
      <c r="B406" s="180" t="s">
        <v>227</v>
      </c>
      <c r="C406" s="240"/>
      <c r="D406" s="252"/>
      <c r="E406" s="195"/>
      <c r="F406" s="182"/>
      <c r="G406" s="187"/>
      <c r="H406" s="191"/>
    </row>
    <row r="407" spans="1:11" s="192" customFormat="1" ht="38.25">
      <c r="A407" s="185">
        <v>1</v>
      </c>
      <c r="B407" s="262" t="s">
        <v>403</v>
      </c>
      <c r="C407" s="181">
        <f>ROUND(5.15*1.7,2)</f>
        <v>8.76</v>
      </c>
      <c r="D407" s="251" t="s">
        <v>87</v>
      </c>
      <c r="E407" s="182"/>
      <c r="F407" s="182">
        <f t="shared" si="49"/>
        <v>0</v>
      </c>
      <c r="G407" s="187"/>
      <c r="H407" s="191"/>
    </row>
    <row r="408" spans="1:11" s="192" customFormat="1" ht="63.75">
      <c r="A408" s="185">
        <v>2</v>
      </c>
      <c r="B408" s="262" t="s">
        <v>404</v>
      </c>
      <c r="C408" s="181">
        <f>ROUND(11.7*1.7,2)</f>
        <v>19.89</v>
      </c>
      <c r="D408" s="251" t="s">
        <v>87</v>
      </c>
      <c r="E408" s="181"/>
      <c r="F408" s="182">
        <f t="shared" si="49"/>
        <v>0</v>
      </c>
      <c r="G408" s="187"/>
      <c r="H408" s="191"/>
    </row>
    <row r="409" spans="1:11" s="192" customFormat="1" ht="38.25">
      <c r="A409" s="185">
        <v>3</v>
      </c>
      <c r="B409" s="183" t="s">
        <v>292</v>
      </c>
      <c r="C409" s="181">
        <f>ROUND(3.15*1.7,2)</f>
        <v>5.36</v>
      </c>
      <c r="D409" s="251" t="s">
        <v>87</v>
      </c>
      <c r="E409" s="181"/>
      <c r="F409" s="182">
        <f t="shared" si="49"/>
        <v>0</v>
      </c>
      <c r="G409" s="187"/>
      <c r="H409" s="191"/>
    </row>
    <row r="410" spans="1:11" s="192" customFormat="1">
      <c r="A410" s="185">
        <v>4</v>
      </c>
      <c r="B410" s="183" t="s">
        <v>277</v>
      </c>
      <c r="C410" s="181">
        <v>16</v>
      </c>
      <c r="D410" s="251" t="s">
        <v>117</v>
      </c>
      <c r="E410" s="181"/>
      <c r="F410" s="182">
        <f t="shared" si="49"/>
        <v>0</v>
      </c>
      <c r="G410" s="187"/>
      <c r="H410" s="191"/>
    </row>
    <row r="411" spans="1:11" s="192" customFormat="1">
      <c r="A411" s="185">
        <v>5</v>
      </c>
      <c r="B411" s="183" t="s">
        <v>294</v>
      </c>
      <c r="C411" s="181">
        <v>1</v>
      </c>
      <c r="D411" s="251" t="s">
        <v>162</v>
      </c>
      <c r="E411" s="181"/>
      <c r="F411" s="182">
        <f t="shared" si="49"/>
        <v>0</v>
      </c>
      <c r="G411" s="187"/>
      <c r="H411" s="191"/>
    </row>
    <row r="412" spans="1:11" s="192" customFormat="1">
      <c r="A412" s="185">
        <v>6</v>
      </c>
      <c r="B412" s="183" t="s">
        <v>229</v>
      </c>
      <c r="C412" s="181">
        <f>ROUND(((40.6*0.65)+(16*0.8*1.7)),2)</f>
        <v>48.15</v>
      </c>
      <c r="D412" s="251" t="s">
        <v>87</v>
      </c>
      <c r="E412" s="182"/>
      <c r="F412" s="182">
        <f t="shared" si="49"/>
        <v>0</v>
      </c>
      <c r="G412" s="187"/>
      <c r="H412" s="191"/>
      <c r="I412" s="241"/>
      <c r="J412" s="241"/>
      <c r="K412" s="241"/>
    </row>
    <row r="413" spans="1:11" s="192" customFormat="1">
      <c r="A413" s="185">
        <v>7</v>
      </c>
      <c r="B413" s="183" t="s">
        <v>293</v>
      </c>
      <c r="C413" s="181">
        <f>ROUND((19.6*1.7)*2,2)</f>
        <v>66.64</v>
      </c>
      <c r="D413" s="251" t="s">
        <v>87</v>
      </c>
      <c r="E413" s="182"/>
      <c r="F413" s="182">
        <f t="shared" si="49"/>
        <v>0</v>
      </c>
      <c r="G413" s="187">
        <f>SUM(F407:F413)</f>
        <v>0</v>
      </c>
      <c r="H413" s="256"/>
    </row>
    <row r="414" spans="1:11" s="241" customFormat="1">
      <c r="A414" s="185"/>
      <c r="B414" s="183"/>
      <c r="C414" s="181"/>
      <c r="D414" s="251"/>
      <c r="E414" s="182"/>
      <c r="F414" s="182"/>
      <c r="G414" s="187"/>
      <c r="H414" s="191"/>
      <c r="I414" s="192"/>
      <c r="J414" s="192"/>
      <c r="K414" s="192"/>
    </row>
    <row r="415" spans="1:11" s="241" customFormat="1">
      <c r="A415" s="184" t="s">
        <v>109</v>
      </c>
      <c r="B415" s="186" t="s">
        <v>219</v>
      </c>
      <c r="C415" s="259"/>
      <c r="D415" s="184"/>
      <c r="E415" s="195"/>
      <c r="F415" s="195"/>
      <c r="G415" s="187"/>
      <c r="H415" s="256"/>
    </row>
    <row r="416" spans="1:11" s="192" customFormat="1">
      <c r="A416" s="185">
        <v>1</v>
      </c>
      <c r="B416" s="262" t="s">
        <v>408</v>
      </c>
      <c r="C416" s="181">
        <f>ROUND(6.5*14.6*0.15,2)</f>
        <v>14.24</v>
      </c>
      <c r="D416" s="185" t="s">
        <v>149</v>
      </c>
      <c r="E416" s="258"/>
      <c r="F416" s="182">
        <f t="shared" ref="F416:F417" si="50">ROUND(C416*E416,2)</f>
        <v>0</v>
      </c>
      <c r="G416" s="187"/>
      <c r="H416" s="191"/>
    </row>
    <row r="417" spans="1:14" s="192" customFormat="1" ht="25.5">
      <c r="A417" s="185">
        <v>2</v>
      </c>
      <c r="B417" s="262" t="s">
        <v>369</v>
      </c>
      <c r="C417" s="181">
        <f>ROUND(C416*1.3,2)</f>
        <v>18.510000000000002</v>
      </c>
      <c r="D417" s="185" t="s">
        <v>168</v>
      </c>
      <c r="E417" s="182"/>
      <c r="F417" s="182">
        <f t="shared" si="50"/>
        <v>0</v>
      </c>
      <c r="G417" s="187">
        <f>SUM(F416:F417)</f>
        <v>0</v>
      </c>
      <c r="H417" s="191"/>
    </row>
    <row r="418" spans="1:14" s="173" customFormat="1">
      <c r="A418" s="168"/>
      <c r="B418" s="242"/>
      <c r="C418" s="170"/>
      <c r="D418" s="168"/>
      <c r="E418" s="169"/>
      <c r="F418" s="182"/>
      <c r="G418" s="169"/>
      <c r="H418" s="172"/>
    </row>
    <row r="419" spans="1:14" s="192" customFormat="1">
      <c r="A419" s="184" t="s">
        <v>110</v>
      </c>
      <c r="B419" s="180" t="s">
        <v>225</v>
      </c>
      <c r="C419" s="240"/>
      <c r="D419" s="252"/>
      <c r="E419" s="195"/>
      <c r="F419" s="182"/>
      <c r="G419" s="187"/>
      <c r="H419" s="191"/>
    </row>
    <row r="420" spans="1:14" s="203" customFormat="1" ht="25.5">
      <c r="A420" s="185">
        <v>1</v>
      </c>
      <c r="B420" s="262" t="s">
        <v>407</v>
      </c>
      <c r="C420" s="181">
        <f>ROUND(6.5*14.6,2)</f>
        <v>94.9</v>
      </c>
      <c r="D420" s="251" t="s">
        <v>87</v>
      </c>
      <c r="E420" s="182"/>
      <c r="F420" s="182">
        <f t="shared" si="49"/>
        <v>0</v>
      </c>
      <c r="G420" s="187">
        <f>SUM(F420)</f>
        <v>0</v>
      </c>
      <c r="H420" s="191"/>
      <c r="I420" s="191"/>
      <c r="J420" s="191"/>
      <c r="K420" s="191"/>
      <c r="L420" s="191"/>
      <c r="M420" s="191"/>
      <c r="N420" s="191"/>
    </row>
    <row r="421" spans="1:14" s="203" customFormat="1">
      <c r="A421" s="185"/>
      <c r="B421" s="180"/>
      <c r="C421" s="181"/>
      <c r="D421" s="182"/>
      <c r="E421" s="182"/>
      <c r="F421" s="182"/>
      <c r="G421" s="187"/>
      <c r="H421" s="191"/>
      <c r="I421" s="191"/>
      <c r="J421" s="191"/>
      <c r="K421" s="191"/>
      <c r="L421" s="191"/>
      <c r="M421" s="191"/>
      <c r="N421" s="191"/>
    </row>
    <row r="422" spans="1:14" s="203" customFormat="1">
      <c r="A422" s="196"/>
      <c r="B422" s="197" t="s">
        <v>139</v>
      </c>
      <c r="C422" s="198"/>
      <c r="D422" s="199"/>
      <c r="E422" s="200"/>
      <c r="F422" s="201"/>
      <c r="G422" s="202">
        <f>SUM(G17:G421)</f>
        <v>0</v>
      </c>
      <c r="H422" s="191"/>
      <c r="I422" s="191"/>
      <c r="J422" s="191"/>
      <c r="K422" s="191"/>
      <c r="L422" s="191"/>
      <c r="M422" s="191"/>
      <c r="N422" s="191"/>
    </row>
    <row r="423" spans="1:14" s="203" customFormat="1">
      <c r="A423" s="204"/>
      <c r="B423" s="205"/>
      <c r="C423" s="206"/>
      <c r="D423" s="207"/>
      <c r="E423" s="208"/>
      <c r="F423" s="208"/>
      <c r="G423" s="208"/>
      <c r="H423" s="191"/>
      <c r="I423" s="191"/>
      <c r="J423" s="191"/>
      <c r="K423" s="191"/>
      <c r="L423" s="191"/>
      <c r="M423" s="191"/>
      <c r="N423" s="191"/>
    </row>
    <row r="424" spans="1:14" s="203" customFormat="1">
      <c r="A424" s="210"/>
      <c r="B424" s="211" t="s">
        <v>66</v>
      </c>
      <c r="C424" s="212">
        <v>1.4999999999999999E-2</v>
      </c>
      <c r="D424" s="210"/>
      <c r="E424" s="213"/>
      <c r="F424" s="213">
        <f>ROUND($G$422*C424,2)</f>
        <v>0</v>
      </c>
      <c r="G424" s="214"/>
      <c r="H424" s="191"/>
      <c r="I424" s="191"/>
      <c r="J424" s="191"/>
      <c r="K424" s="191"/>
      <c r="L424" s="191"/>
      <c r="M424" s="191"/>
      <c r="N424" s="191"/>
    </row>
    <row r="425" spans="1:14" s="203" customFormat="1">
      <c r="A425" s="210"/>
      <c r="B425" s="215" t="s">
        <v>114</v>
      </c>
      <c r="C425" s="212">
        <v>0.03</v>
      </c>
      <c r="D425" s="210"/>
      <c r="E425" s="213"/>
      <c r="F425" s="213">
        <f t="shared" ref="F425:F430" si="51">ROUND($G$422*C425,2)</f>
        <v>0</v>
      </c>
      <c r="G425" s="214"/>
      <c r="H425" s="191"/>
      <c r="I425" s="191"/>
      <c r="J425" s="191"/>
      <c r="K425" s="191"/>
      <c r="L425" s="191"/>
      <c r="M425" s="191"/>
      <c r="N425" s="191"/>
    </row>
    <row r="426" spans="1:14" s="203" customFormat="1">
      <c r="A426" s="210"/>
      <c r="B426" s="211" t="s">
        <v>140</v>
      </c>
      <c r="C426" s="212">
        <v>4.4999999999999998E-2</v>
      </c>
      <c r="D426" s="210"/>
      <c r="E426" s="213"/>
      <c r="F426" s="213">
        <f t="shared" si="51"/>
        <v>0</v>
      </c>
      <c r="G426" s="214"/>
      <c r="H426" s="191"/>
      <c r="I426" s="191"/>
      <c r="J426" s="191"/>
      <c r="K426" s="191"/>
      <c r="L426" s="191"/>
      <c r="M426" s="191"/>
      <c r="N426" s="191"/>
    </row>
    <row r="427" spans="1:14" s="203" customFormat="1">
      <c r="A427" s="210"/>
      <c r="B427" s="215" t="s">
        <v>141</v>
      </c>
      <c r="C427" s="212">
        <v>0.1</v>
      </c>
      <c r="D427" s="210"/>
      <c r="E427" s="213"/>
      <c r="F427" s="213">
        <f t="shared" si="51"/>
        <v>0</v>
      </c>
      <c r="G427" s="214"/>
      <c r="H427" s="191"/>
      <c r="I427" s="191"/>
      <c r="J427" s="191"/>
      <c r="K427" s="191"/>
      <c r="L427" s="191"/>
      <c r="M427" s="191"/>
      <c r="N427" s="191"/>
    </row>
    <row r="428" spans="1:14" s="203" customFormat="1">
      <c r="A428" s="210"/>
      <c r="B428" s="211" t="s">
        <v>142</v>
      </c>
      <c r="C428" s="212">
        <v>0.01</v>
      </c>
      <c r="D428" s="210"/>
      <c r="E428" s="213"/>
      <c r="F428" s="213">
        <f t="shared" si="51"/>
        <v>0</v>
      </c>
      <c r="G428" s="214"/>
      <c r="H428" s="191"/>
      <c r="I428" s="191"/>
      <c r="J428" s="191"/>
      <c r="K428" s="191"/>
      <c r="L428" s="191"/>
      <c r="M428" s="191"/>
      <c r="N428" s="191"/>
    </row>
    <row r="429" spans="1:14" s="203" customFormat="1">
      <c r="A429" s="210"/>
      <c r="B429" s="215" t="s">
        <v>143</v>
      </c>
      <c r="C429" s="212">
        <v>1E-3</v>
      </c>
      <c r="D429" s="210"/>
      <c r="E429" s="213"/>
      <c r="F429" s="213">
        <f t="shared" si="51"/>
        <v>0</v>
      </c>
      <c r="G429" s="214"/>
      <c r="H429" s="191"/>
      <c r="I429" s="191"/>
      <c r="J429" s="191"/>
      <c r="K429" s="191"/>
      <c r="L429" s="191"/>
      <c r="M429" s="191"/>
      <c r="N429" s="191"/>
    </row>
    <row r="430" spans="1:14" s="203" customFormat="1">
      <c r="A430" s="210"/>
      <c r="B430" s="215" t="s">
        <v>122</v>
      </c>
      <c r="C430" s="212">
        <v>0.05</v>
      </c>
      <c r="D430" s="210"/>
      <c r="E430" s="213"/>
      <c r="F430" s="213">
        <f t="shared" si="51"/>
        <v>0</v>
      </c>
      <c r="G430" s="214"/>
      <c r="H430" s="191"/>
      <c r="I430" s="191"/>
      <c r="J430" s="191"/>
      <c r="K430" s="191"/>
      <c r="L430" s="191"/>
      <c r="M430" s="191"/>
      <c r="N430" s="191"/>
    </row>
    <row r="431" spans="1:14" s="203" customFormat="1">
      <c r="A431" s="215"/>
      <c r="B431" s="215" t="s">
        <v>144</v>
      </c>
      <c r="C431" s="212">
        <v>0.18</v>
      </c>
      <c r="D431" s="210"/>
      <c r="E431" s="216"/>
      <c r="F431" s="213">
        <f>ROUND($F$427*C431,2)</f>
        <v>0</v>
      </c>
      <c r="G431" s="217" t="s">
        <v>135</v>
      </c>
      <c r="H431" s="191"/>
      <c r="I431" s="191"/>
      <c r="J431" s="191"/>
      <c r="K431" s="191"/>
      <c r="L431" s="191"/>
      <c r="M431" s="191"/>
      <c r="N431" s="191"/>
    </row>
    <row r="432" spans="1:14" s="203" customFormat="1" ht="14.25">
      <c r="A432" s="210"/>
      <c r="B432" s="218" t="s">
        <v>145</v>
      </c>
      <c r="C432" s="219"/>
      <c r="D432" s="210"/>
      <c r="E432" s="213"/>
      <c r="F432" s="211"/>
      <c r="G432" s="217">
        <f>SUM(F424:F431)</f>
        <v>0</v>
      </c>
      <c r="H432" s="191"/>
      <c r="I432" s="191"/>
      <c r="J432" s="191"/>
      <c r="K432" s="191"/>
      <c r="L432" s="191"/>
      <c r="M432" s="191"/>
      <c r="N432" s="191"/>
    </row>
    <row r="433" spans="1:14" s="203" customFormat="1">
      <c r="A433" s="220"/>
      <c r="B433" s="221"/>
      <c r="C433" s="222"/>
      <c r="D433" s="223"/>
      <c r="E433" s="224"/>
      <c r="F433" s="224"/>
      <c r="G433" s="225"/>
      <c r="H433" s="191"/>
      <c r="I433" s="191"/>
      <c r="J433" s="191"/>
      <c r="K433" s="191"/>
      <c r="L433" s="191"/>
      <c r="M433" s="191"/>
      <c r="N433" s="191"/>
    </row>
    <row r="434" spans="1:14" s="203" customFormat="1">
      <c r="A434" s="196"/>
      <c r="B434" s="226" t="s">
        <v>146</v>
      </c>
      <c r="C434" s="198"/>
      <c r="D434" s="199"/>
      <c r="E434" s="227"/>
      <c r="F434" s="228"/>
      <c r="G434" s="229">
        <f>SUM(G422+G432)</f>
        <v>0</v>
      </c>
      <c r="H434" s="191"/>
      <c r="I434" s="191"/>
      <c r="J434" s="191"/>
      <c r="K434" s="191"/>
      <c r="L434" s="191"/>
      <c r="M434" s="191"/>
      <c r="N434" s="191"/>
    </row>
    <row r="435" spans="1:14" s="203" customFormat="1">
      <c r="A435" s="211"/>
      <c r="B435" s="230"/>
      <c r="C435" s="231"/>
      <c r="D435" s="210"/>
      <c r="E435" s="214"/>
      <c r="F435" s="214"/>
      <c r="G435" s="214"/>
      <c r="H435" s="191"/>
      <c r="I435" s="191"/>
      <c r="J435" s="191"/>
      <c r="K435" s="191"/>
      <c r="L435" s="191"/>
      <c r="M435" s="191"/>
      <c r="N435" s="191"/>
    </row>
    <row r="436" spans="1:14" s="203" customFormat="1" ht="15.75">
      <c r="B436" s="209"/>
      <c r="C436" s="233"/>
      <c r="D436" s="234"/>
      <c r="E436" s="232"/>
      <c r="F436" s="232"/>
      <c r="G436" s="236"/>
      <c r="H436" s="191"/>
      <c r="I436" s="191"/>
      <c r="J436" s="191"/>
      <c r="K436" s="191"/>
      <c r="L436" s="191"/>
      <c r="M436" s="191"/>
      <c r="N436" s="191"/>
    </row>
    <row r="437" spans="1:14" s="203" customFormat="1" ht="15.75">
      <c r="A437" s="234"/>
      <c r="B437" s="211"/>
      <c r="C437" s="233"/>
      <c r="D437" s="235"/>
      <c r="E437" s="235"/>
      <c r="F437" s="235"/>
      <c r="G437" s="236"/>
      <c r="H437" s="191"/>
      <c r="I437" s="191"/>
      <c r="J437" s="191"/>
      <c r="K437" s="191"/>
      <c r="L437" s="191"/>
      <c r="M437" s="191"/>
      <c r="N437" s="191"/>
    </row>
    <row r="438" spans="1:14" s="203" customFormat="1">
      <c r="A438" s="234"/>
      <c r="B438" s="211"/>
      <c r="C438" s="233"/>
      <c r="D438" s="232"/>
      <c r="E438" s="232"/>
      <c r="F438" s="232"/>
      <c r="G438" s="232"/>
      <c r="H438" s="191"/>
      <c r="I438" s="191"/>
      <c r="J438" s="191"/>
    </row>
    <row r="439" spans="1:14" s="203" customFormat="1">
      <c r="A439" s="234"/>
      <c r="B439" s="233"/>
      <c r="C439" s="232"/>
      <c r="D439" s="232"/>
      <c r="E439" s="232"/>
      <c r="F439" s="232"/>
      <c r="G439" s="232"/>
      <c r="H439" s="191"/>
      <c r="I439" s="191"/>
    </row>
    <row r="440" spans="1:14" s="203" customFormat="1">
      <c r="A440" s="234"/>
      <c r="B440" s="337" t="s">
        <v>424</v>
      </c>
      <c r="C440" s="337"/>
      <c r="D440" s="337"/>
      <c r="E440" s="337"/>
      <c r="F440" s="337"/>
      <c r="G440" s="337"/>
      <c r="H440" s="191"/>
      <c r="I440" s="191"/>
    </row>
    <row r="441" spans="1:14">
      <c r="A441" s="234"/>
      <c r="B441" s="154"/>
      <c r="C441" s="232"/>
      <c r="D441" s="232"/>
      <c r="E441" s="232"/>
      <c r="F441" s="232"/>
      <c r="G441" s="232"/>
      <c r="H441" s="191"/>
      <c r="I441" s="191"/>
      <c r="J441" s="191"/>
      <c r="K441" s="191"/>
      <c r="L441" s="191"/>
      <c r="M441" s="191"/>
    </row>
    <row r="442" spans="1:14" ht="15.75" customHeight="1">
      <c r="A442" s="234"/>
      <c r="B442" s="154"/>
      <c r="C442" s="332"/>
      <c r="D442" s="332"/>
      <c r="E442" s="332"/>
      <c r="F442" s="332"/>
      <c r="G442" s="232"/>
      <c r="H442" s="191"/>
      <c r="I442" s="191"/>
      <c r="J442" s="191"/>
      <c r="K442" s="191"/>
      <c r="L442" s="191"/>
      <c r="M442" s="191"/>
    </row>
    <row r="443" spans="1:14">
      <c r="A443" s="234"/>
      <c r="B443" s="249"/>
      <c r="C443" s="233"/>
      <c r="D443" s="237"/>
      <c r="E443" s="225"/>
      <c r="F443" s="238"/>
      <c r="G443" s="239"/>
      <c r="H443" s="191"/>
      <c r="I443" s="191"/>
      <c r="J443" s="191"/>
      <c r="K443" s="191"/>
      <c r="L443" s="191"/>
      <c r="M443" s="191"/>
      <c r="N443" s="191"/>
    </row>
    <row r="444" spans="1:14">
      <c r="A444" s="234"/>
      <c r="B444" s="287"/>
      <c r="C444" s="233"/>
      <c r="D444" s="237"/>
      <c r="E444" s="225"/>
      <c r="F444" s="238"/>
      <c r="G444" s="239"/>
      <c r="H444" s="191"/>
      <c r="I444" s="191"/>
      <c r="J444" s="191"/>
      <c r="K444" s="191"/>
      <c r="L444" s="191"/>
      <c r="M444" s="191"/>
      <c r="N444" s="191"/>
    </row>
    <row r="445" spans="1:14">
      <c r="A445" s="203"/>
      <c r="B445" s="289"/>
      <c r="H445" s="191"/>
      <c r="I445" s="191"/>
      <c r="J445" s="191"/>
      <c r="K445" s="191"/>
      <c r="L445" s="191"/>
      <c r="M445" s="191"/>
      <c r="N445" s="191"/>
    </row>
    <row r="446" spans="1:14">
      <c r="A446" s="203"/>
      <c r="B446" s="289"/>
      <c r="H446" s="191"/>
      <c r="I446" s="191"/>
      <c r="J446" s="191"/>
      <c r="K446" s="191"/>
      <c r="L446" s="191"/>
      <c r="M446" s="191"/>
      <c r="N446" s="191"/>
    </row>
    <row r="447" spans="1:14">
      <c r="G447" s="109"/>
    </row>
  </sheetData>
  <mergeCells count="7">
    <mergeCell ref="C442:F442"/>
    <mergeCell ref="A1:G1"/>
    <mergeCell ref="A2:G2"/>
    <mergeCell ref="A3:G3"/>
    <mergeCell ref="A4:G4"/>
    <mergeCell ref="F5:G5"/>
    <mergeCell ref="B440:G440"/>
  </mergeCells>
  <pageMargins left="0.78740157480314998" right="0.47244094488188998" top="0.59055118110236204" bottom="0.66929133858267698" header="0.15748031496063" footer="0.43307086614173201"/>
  <pageSetup scale="68" fitToHeight="53" orientation="portrait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5</vt:i4>
      </vt:variant>
    </vt:vector>
  </HeadingPairs>
  <TitlesOfParts>
    <vt:vector size="9" baseType="lpstr">
      <vt:lpstr>PRESENTACION</vt:lpstr>
      <vt:lpstr>RATR</vt:lpstr>
      <vt:lpstr>RESUMEN</vt:lpstr>
      <vt:lpstr>PRESUPUESTO</vt:lpstr>
      <vt:lpstr>PRESENTACION!Área_de_impresión</vt:lpstr>
      <vt:lpstr>PRESUPUESTO!Área_de_impresión</vt:lpstr>
      <vt:lpstr>RATR!Área_de_impresión</vt:lpstr>
      <vt:lpstr>RESUMEN!Área_de_impresión</vt:lpstr>
      <vt:lpstr>PRESUPUESTO!Títulos_a_imprimir</vt:lpstr>
    </vt:vector>
  </TitlesOfParts>
  <Company>cfi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dmojica</dc:creator>
  <cp:lastModifiedBy>vmartinez</cp:lastModifiedBy>
  <cp:lastPrinted>2017-08-22T16:06:17Z</cp:lastPrinted>
  <dcterms:created xsi:type="dcterms:W3CDTF">2009-07-28T19:21:39Z</dcterms:created>
  <dcterms:modified xsi:type="dcterms:W3CDTF">2017-08-22T16:06:40Z</dcterms:modified>
</cp:coreProperties>
</file>